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9CCC6F23-B0D3-400D-995F-4BBC6AFA35B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ne Item Calculation" sheetId="1" r:id="rId1"/>
    <sheet name="Monthly" sheetId="3" r:id="rId2"/>
    <sheet name="FY23 Retail revenue forecast" sheetId="4" r:id="rId3"/>
    <sheet name="2021 actuals" sheetId="5" r:id="rId4"/>
  </sheets>
  <definedNames>
    <definedName name="_xlnm.Print_Area" localSheetId="0">'Line Item Calculation'!$A$2:$P$21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3" l="1"/>
  <c r="F8" i="3"/>
  <c r="G8" i="3"/>
  <c r="H8" i="3"/>
  <c r="I8" i="3"/>
  <c r="J8" i="3"/>
  <c r="K8" i="3"/>
  <c r="L8" i="3"/>
  <c r="M8" i="3"/>
  <c r="N8" i="3"/>
  <c r="O8" i="3"/>
  <c r="D8" i="3"/>
  <c r="Q29" i="3"/>
  <c r="Q28" i="3"/>
  <c r="Q27" i="3"/>
  <c r="Q26" i="3"/>
  <c r="Q25" i="3"/>
  <c r="Q22" i="5"/>
  <c r="Q18" i="5"/>
  <c r="Q14" i="5"/>
  <c r="Q10" i="5"/>
  <c r="Q6" i="5"/>
  <c r="C26" i="3"/>
  <c r="C27" i="3"/>
  <c r="C28" i="3"/>
  <c r="C29" i="3"/>
  <c r="C30" i="3"/>
  <c r="C25" i="3"/>
  <c r="Q30" i="3" l="1"/>
  <c r="L11" i="1" l="1"/>
  <c r="E9" i="3"/>
  <c r="D9" i="3"/>
  <c r="C7" i="3"/>
  <c r="F11" i="1" s="1"/>
  <c r="O9" i="3"/>
  <c r="N9" i="3"/>
  <c r="M9" i="3"/>
  <c r="L9" i="3"/>
  <c r="K9" i="3"/>
  <c r="J9" i="3"/>
  <c r="I9" i="3"/>
  <c r="H9" i="3"/>
  <c r="F9" i="3"/>
  <c r="G9" i="3"/>
  <c r="P20" i="4"/>
  <c r="P35" i="4"/>
  <c r="L35" i="4"/>
  <c r="M35" i="4"/>
  <c r="N35" i="4"/>
  <c r="O35" i="4"/>
  <c r="L22" i="4"/>
  <c r="M22" i="4"/>
  <c r="N22" i="4"/>
  <c r="O22" i="4"/>
  <c r="L23" i="4"/>
  <c r="M23" i="4"/>
  <c r="N23" i="4"/>
  <c r="O23" i="4"/>
  <c r="L24" i="4"/>
  <c r="M24" i="4"/>
  <c r="N24" i="4"/>
  <c r="O24" i="4"/>
  <c r="L25" i="4"/>
  <c r="M25" i="4"/>
  <c r="N25" i="4"/>
  <c r="O25" i="4"/>
  <c r="L26" i="4"/>
  <c r="M26" i="4"/>
  <c r="N26" i="4"/>
  <c r="O26" i="4"/>
  <c r="L27" i="4"/>
  <c r="M27" i="4"/>
  <c r="N27" i="4"/>
  <c r="O27" i="4"/>
  <c r="L28" i="4"/>
  <c r="M28" i="4"/>
  <c r="N28" i="4"/>
  <c r="O28" i="4"/>
  <c r="L29" i="4"/>
  <c r="P29" i="4" s="1"/>
  <c r="M29" i="4"/>
  <c r="N29" i="4"/>
  <c r="O29" i="4"/>
  <c r="L30" i="4"/>
  <c r="M30" i="4"/>
  <c r="N30" i="4"/>
  <c r="O30" i="4"/>
  <c r="L31" i="4"/>
  <c r="M31" i="4"/>
  <c r="N31" i="4"/>
  <c r="O31" i="4"/>
  <c r="L32" i="4"/>
  <c r="M32" i="4"/>
  <c r="N32" i="4"/>
  <c r="O32" i="4"/>
  <c r="L33" i="4"/>
  <c r="M33" i="4"/>
  <c r="N33" i="4"/>
  <c r="O33" i="4"/>
  <c r="K23" i="4"/>
  <c r="K24" i="4"/>
  <c r="K25" i="4"/>
  <c r="K26" i="4"/>
  <c r="K27" i="4"/>
  <c r="K28" i="4"/>
  <c r="K29" i="4"/>
  <c r="K30" i="4"/>
  <c r="K31" i="4"/>
  <c r="K32" i="4"/>
  <c r="K33" i="4"/>
  <c r="K22" i="4"/>
  <c r="K35" i="4" s="1"/>
  <c r="I23" i="4"/>
  <c r="I24" i="4"/>
  <c r="I25" i="4"/>
  <c r="I26" i="4"/>
  <c r="I27" i="4"/>
  <c r="I28" i="4"/>
  <c r="I29" i="4"/>
  <c r="I30" i="4"/>
  <c r="I31" i="4"/>
  <c r="I32" i="4"/>
  <c r="I33" i="4"/>
  <c r="I22" i="4"/>
  <c r="E22" i="4"/>
  <c r="F22" i="4"/>
  <c r="G22" i="4"/>
  <c r="H22" i="4"/>
  <c r="E23" i="4"/>
  <c r="F23" i="4"/>
  <c r="G23" i="4"/>
  <c r="H23" i="4"/>
  <c r="E24" i="4"/>
  <c r="F24" i="4"/>
  <c r="G24" i="4"/>
  <c r="H24" i="4"/>
  <c r="E25" i="4"/>
  <c r="F25" i="4"/>
  <c r="G25" i="4"/>
  <c r="H25" i="4"/>
  <c r="E26" i="4"/>
  <c r="F26" i="4"/>
  <c r="G26" i="4"/>
  <c r="H26" i="4"/>
  <c r="E27" i="4"/>
  <c r="F27" i="4"/>
  <c r="G27" i="4"/>
  <c r="H27" i="4"/>
  <c r="E28" i="4"/>
  <c r="F28" i="4"/>
  <c r="G28" i="4"/>
  <c r="H28" i="4"/>
  <c r="E29" i="4"/>
  <c r="F29" i="4"/>
  <c r="G29" i="4"/>
  <c r="H29" i="4"/>
  <c r="E30" i="4"/>
  <c r="F30" i="4"/>
  <c r="G30" i="4"/>
  <c r="H30" i="4"/>
  <c r="E31" i="4"/>
  <c r="F31" i="4"/>
  <c r="G31" i="4"/>
  <c r="H31" i="4"/>
  <c r="E32" i="4"/>
  <c r="F32" i="4"/>
  <c r="G32" i="4"/>
  <c r="H32" i="4"/>
  <c r="E33" i="4"/>
  <c r="F33" i="4"/>
  <c r="G33" i="4"/>
  <c r="H33" i="4"/>
  <c r="D23" i="4"/>
  <c r="D24" i="4"/>
  <c r="D25" i="4"/>
  <c r="D26" i="4"/>
  <c r="D27" i="4"/>
  <c r="D28" i="4"/>
  <c r="D29" i="4"/>
  <c r="D30" i="4"/>
  <c r="D31" i="4"/>
  <c r="D32" i="4"/>
  <c r="D33" i="4"/>
  <c r="D22" i="4"/>
  <c r="P28" i="4" l="1"/>
  <c r="P24" i="4"/>
  <c r="P32" i="4"/>
  <c r="P27" i="4"/>
  <c r="P31" i="4"/>
  <c r="P23" i="4"/>
  <c r="P30" i="4"/>
  <c r="P26" i="4"/>
  <c r="P33" i="4"/>
  <c r="P25" i="4"/>
  <c r="P22" i="4"/>
  <c r="C8" i="3" l="1"/>
  <c r="H11" i="1" s="1"/>
  <c r="C6" i="3"/>
  <c r="C9" i="3" l="1"/>
  <c r="C13" i="3" s="1"/>
  <c r="L11" i="3" s="1"/>
  <c r="N11" i="3"/>
  <c r="D11" i="3"/>
  <c r="E11" i="3"/>
  <c r="H11" i="3"/>
  <c r="I11" i="3"/>
  <c r="D11" i="1"/>
  <c r="J11" i="1" s="1"/>
  <c r="N11" i="1" s="1"/>
  <c r="J11" i="3" l="1"/>
  <c r="F11" i="3"/>
  <c r="G11" i="3"/>
  <c r="M11" i="3"/>
  <c r="K11" i="3"/>
  <c r="O11" i="3"/>
  <c r="P11" i="1"/>
</calcChain>
</file>

<file path=xl/sharedStrings.xml><?xml version="1.0" encoding="utf-8"?>
<sst xmlns="http://schemas.openxmlformats.org/spreadsheetml/2006/main" count="99" uniqueCount="70">
  <si>
    <t>GREEN MOUNTAIN POWER CORPORATION</t>
  </si>
  <si>
    <t>Projected Base Rate Revenue</t>
  </si>
  <si>
    <t>Projected Base Rate Revenues for Revenue-based Surcharges</t>
  </si>
  <si>
    <t>Revenue Check</t>
  </si>
  <si>
    <t>Power Supply and Retail Revenue Adjustor</t>
  </si>
  <si>
    <t>FY2023</t>
  </si>
  <si>
    <t>Power Supply and Retail Revenue Collection (Return)</t>
  </si>
  <si>
    <t>Less Street Light Rate Class</t>
  </si>
  <si>
    <t>Net Base Retail Revenue</t>
  </si>
  <si>
    <t>Total</t>
  </si>
  <si>
    <t>FY22</t>
  </si>
  <si>
    <t>FY23</t>
  </si>
  <si>
    <t>Sales (MWh)</t>
  </si>
  <si>
    <t>Revenue ($)</t>
  </si>
  <si>
    <t>Average Rate ($/kWh)</t>
  </si>
  <si>
    <t>Year</t>
  </si>
  <si>
    <t>Month</t>
  </si>
  <si>
    <t>FY</t>
  </si>
  <si>
    <t>Res</t>
  </si>
  <si>
    <t>Com</t>
  </si>
  <si>
    <t>Ind</t>
  </si>
  <si>
    <t>GF</t>
  </si>
  <si>
    <t>StL</t>
  </si>
  <si>
    <t>Proposed Rate Increase</t>
  </si>
  <si>
    <t>Period</t>
  </si>
  <si>
    <t>Less Street Light Rate</t>
  </si>
  <si>
    <t>Percentage Surcharge</t>
  </si>
  <si>
    <t>July 1, 2022 - June 30, 2023</t>
  </si>
  <si>
    <t xml:space="preserve">* Projected Base Rate Revenue for October 1, 2022 through June 30, 2023 reflects 2.34% base rate change pending in PUC Case No. 22-0175-TF. </t>
  </si>
  <si>
    <t>Projected Base Rate Revenue*</t>
  </si>
  <si>
    <t>Rate 19</t>
  </si>
  <si>
    <t>Forecast</t>
  </si>
  <si>
    <t>% of</t>
  </si>
  <si>
    <t>12 Months</t>
  </si>
  <si>
    <t>Actual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</si>
  <si>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</si>
  <si>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</si>
  <si>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</si>
  <si>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</si>
  <si>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</si>
  <si>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</si>
  <si>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</si>
  <si>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</si>
  <si>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</si>
  <si>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</si>
  <si>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</si>
  <si>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</si>
  <si>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Ended</t>
  </si>
  <si>
    <t>Annual</t>
  </si>
  <si>
    <t>Revenue</t>
  </si>
  <si>
    <t>Street Lighting Rate 19 (Residential)</t>
  </si>
  <si>
    <t>Street Lighting Rate 19 (Small C&amp;I)</t>
  </si>
  <si>
    <t>Street Lighting Rate 19 (Large C&amp;I)</t>
  </si>
  <si>
    <t>Street Lighting Rate 19 (Transmission)</t>
  </si>
  <si>
    <t>Street Lighting Rate 19 (St Lighting &amp; Other)</t>
  </si>
  <si>
    <t>All Rate 19 Street Lighting Revenue</t>
  </si>
  <si>
    <t>Billed</t>
  </si>
  <si>
    <t>Rate 19 - Residential Billed</t>
  </si>
  <si>
    <t>Total Residential Billed</t>
  </si>
  <si>
    <t>Rate 19 - Small C&amp;I Billed</t>
  </si>
  <si>
    <t>Total Small C&amp;I Billed</t>
  </si>
  <si>
    <t>Rate 19 - Large C&amp;I Billed</t>
  </si>
  <si>
    <t>Total Large C&amp;I Billed</t>
  </si>
  <si>
    <t>Rate 19 - Transmission Billed</t>
  </si>
  <si>
    <t>Total Transmission Billed</t>
  </si>
  <si>
    <t>Rate 19 - St Light &amp; Other Billed</t>
  </si>
  <si>
    <t>Total St Light &amp; Other Billed</t>
  </si>
  <si>
    <t xml:space="preserve"> Percentage</t>
  </si>
  <si>
    <t>Line Item Calculation</t>
  </si>
  <si>
    <t>Less GlobalFoundries U.S. 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</si>
</sst>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.0000"/>
    <numFmt numFmtId="167" formatCode="0.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b/>
      <sz val="14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164" fontId="2" fillId="0" borderId="0" xfId="1" applyNumberFormat="1" applyFont="1"/>
    <xf numFmtId="0" fontId="2" fillId="0" borderId="0" xfId="0" applyFont="1"/>
    <xf numFmtId="0" fontId="3" fillId="2" borderId="0" xfId="0" applyFont="1" applyFill="1" applyAlignment="1">
      <alignment horizontal="right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wrapText="1"/>
    </xf>
    <xf numFmtId="0" fontId="6" fillId="2" borderId="0" xfId="0" applyFont="1" applyFill="1"/>
    <xf numFmtId="165" fontId="6" fillId="2" borderId="0" xfId="2" applyNumberFormat="1" applyFont="1" applyFill="1"/>
    <xf numFmtId="10" fontId="6" fillId="2" borderId="0" xfId="3" applyNumberFormat="1" applyFont="1" applyFill="1"/>
    <xf numFmtId="165" fontId="0" fillId="0" borderId="0" xfId="2" applyNumberFormat="1" applyFont="1"/>
    <xf numFmtId="0" fontId="0" fillId="0" borderId="0" xfId="0" applyFont="1" applyAlignment="1">
      <alignment horizontal="center"/>
    </xf>
    <xf numFmtId="0" fontId="0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3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  <xf numFmtId="3" fontId="0" fillId="0" borderId="0" xfId="0" applyNumberFormat="1"/>
    <xf numFmtId="165" fontId="0" fillId="0" borderId="0" xfId="0" applyNumberFormat="1"/>
    <xf numFmtId="165" fontId="9" fillId="0" borderId="0" xfId="0" applyNumberFormat="1" applyFont="1"/>
    <xf numFmtId="167" fontId="0" fillId="0" borderId="0" xfId="3" applyNumberFormat="1" applyFont="1"/>
    <xf numFmtId="167" fontId="0" fillId="0" borderId="0" xfId="3" applyNumberFormat="1" applyFont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 vertical="center"/>
    </xf>
    <xf numFmtId="165" fontId="6" fillId="0" borderId="0" xfId="2" applyNumberFormat="1" applyFont="1" applyFill="1"/>
    <xf numFmtId="10" fontId="6" fillId="0" borderId="0" xfId="3" applyNumberFormat="1" applyFont="1" applyFill="1"/>
    <xf numFmtId="10" fontId="6" fillId="0" borderId="0" xfId="0" applyNumberFormat="1" applyFont="1" applyFill="1"/>
    <xf numFmtId="0" fontId="8" fillId="2" borderId="0" xfId="0" quotePrefix="1" applyFont="1" applyFill="1" applyAlignment="1">
      <alignment horizontal="left" vertical="center"/>
    </xf>
    <xf numFmtId="0" fontId="13" fillId="2" borderId="0" xfId="0" applyFont="1" applyFill="1"/>
    <xf numFmtId="0" fontId="13" fillId="0" borderId="0" xfId="0" applyFont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Border="1" applyAlignment="1">
      <alignment horizontal="left"/>
    </xf>
    <xf numFmtId="165" fontId="0" fillId="0" borderId="0" xfId="2" applyNumberFormat="1" applyFont="1" applyBorder="1"/>
    <xf numFmtId="0" fontId="0" fillId="0" borderId="1" xfId="0" applyFont="1" applyBorder="1"/>
    <xf numFmtId="165" fontId="0" fillId="0" borderId="1" xfId="2" applyNumberFormat="1" applyFont="1" applyBorder="1"/>
    <xf numFmtId="14" fontId="14" fillId="0" borderId="2" xfId="0" applyNumberFormat="1" applyFont="1" applyBorder="1" applyAlignment="1">
      <alignment horizontal="center"/>
    </xf>
    <xf numFmtId="165" fontId="0" fillId="0" borderId="2" xfId="2" applyNumberFormat="1" applyFont="1" applyBorder="1"/>
    <xf numFmtId="165" fontId="0" fillId="0" borderId="3" xfId="2" applyNumberFormat="1" applyFont="1" applyBorder="1"/>
    <xf numFmtId="0" fontId="0" fillId="0" borderId="2" xfId="0" applyFont="1" applyBorder="1"/>
    <xf numFmtId="44" fontId="0" fillId="0" borderId="2" xfId="0" applyNumberFormat="1" applyFont="1" applyBorder="1"/>
    <xf numFmtId="10" fontId="0" fillId="0" borderId="2" xfId="3" applyNumberFormat="1" applyFont="1" applyBorder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4" fontId="14" fillId="0" borderId="0" xfId="0" applyNumberFormat="1" applyFont="1" applyBorder="1" applyAlignment="1">
      <alignment horizontal="center"/>
    </xf>
    <xf numFmtId="14" fontId="14" fillId="0" borderId="9" xfId="0" applyNumberFormat="1" applyFont="1" applyBorder="1" applyAlignment="1">
      <alignment horizontal="center"/>
    </xf>
    <xf numFmtId="0" fontId="0" fillId="0" borderId="8" xfId="0" applyFont="1" applyBorder="1" applyAlignment="1">
      <alignment horizontal="left" indent="2"/>
    </xf>
    <xf numFmtId="165" fontId="0" fillId="0" borderId="9" xfId="2" applyNumberFormat="1" applyFont="1" applyBorder="1"/>
    <xf numFmtId="0" fontId="0" fillId="0" borderId="10" xfId="0" applyFont="1" applyBorder="1" applyAlignment="1">
      <alignment horizontal="left" indent="2"/>
    </xf>
    <xf numFmtId="165" fontId="0" fillId="0" borderId="11" xfId="2" applyNumberFormat="1" applyFont="1" applyBorder="1"/>
    <xf numFmtId="0" fontId="9" fillId="0" borderId="8" xfId="0" applyFont="1" applyBorder="1"/>
    <xf numFmtId="0" fontId="0" fillId="0" borderId="0" xfId="0" applyFont="1" applyBorder="1"/>
    <xf numFmtId="0" fontId="0" fillId="0" borderId="8" xfId="0" applyFont="1" applyBorder="1"/>
    <xf numFmtId="0" fontId="0" fillId="0" borderId="9" xfId="0" applyFont="1" applyBorder="1"/>
    <xf numFmtId="0" fontId="9" fillId="0" borderId="8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44" fontId="0" fillId="0" borderId="0" xfId="0" applyNumberFormat="1" applyFont="1" applyBorder="1"/>
    <xf numFmtId="44" fontId="0" fillId="0" borderId="9" xfId="0" applyNumberFormat="1" applyFont="1" applyBorder="1"/>
    <xf numFmtId="10" fontId="0" fillId="0" borderId="0" xfId="3" applyNumberFormat="1" applyFont="1" applyBorder="1"/>
    <xf numFmtId="10" fontId="0" fillId="0" borderId="9" xfId="3" applyNumberFormat="1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0" fontId="9" fillId="0" borderId="5" xfId="0" applyFont="1" applyBorder="1" applyAlignment="1">
      <alignment horizontal="center"/>
    </xf>
    <xf numFmtId="165" fontId="9" fillId="0" borderId="0" xfId="2" applyNumberFormat="1" applyFont="1" applyBorder="1"/>
    <xf numFmtId="165" fontId="9" fillId="0" borderId="1" xfId="2" applyNumberFormat="1" applyFont="1" applyBorder="1"/>
    <xf numFmtId="0" fontId="9" fillId="0" borderId="0" xfId="0" applyFont="1" applyBorder="1"/>
    <xf numFmtId="44" fontId="9" fillId="0" borderId="0" xfId="2" applyFont="1" applyBorder="1"/>
    <xf numFmtId="10" fontId="9" fillId="0" borderId="0" xfId="3" applyNumberFormat="1" applyFont="1" applyBorder="1"/>
    <xf numFmtId="0" fontId="9" fillId="0" borderId="13" xfId="0" applyFont="1" applyBorder="1"/>
    <xf numFmtId="10" fontId="0" fillId="0" borderId="0" xfId="3" applyNumberFormat="1" applyFont="1"/>
    <xf numFmtId="164" fontId="9" fillId="0" borderId="0" xfId="1" applyNumberFormat="1" applyFont="1"/>
    <xf numFmtId="164" fontId="0" fillId="0" borderId="0" xfId="1" applyNumberFormat="1" applyFont="1"/>
    <xf numFmtId="164" fontId="1" fillId="0" borderId="0" xfId="1" applyNumberFormat="1" applyFont="1"/>
    <xf numFmtId="10" fontId="9" fillId="0" borderId="0" xfId="3" applyNumberFormat="1" applyFont="1"/>
    <xf numFmtId="164" fontId="0" fillId="0" borderId="0" xfId="1" applyNumberFormat="1" applyFont="1" applyBorder="1"/>
    <xf numFmtId="164" fontId="1" fillId="0" borderId="0" xfId="1" applyNumberFormat="1" applyFont="1" applyBorder="1"/>
    <xf numFmtId="10" fontId="0" fillId="0" borderId="1" xfId="3" applyNumberFormat="1" applyFont="1" applyBorder="1"/>
    <xf numFmtId="164" fontId="0" fillId="0" borderId="1" xfId="1" applyNumberFormat="1" applyFont="1" applyBorder="1"/>
    <xf numFmtId="164" fontId="1" fillId="0" borderId="1" xfId="1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6" fillId="0" borderId="0" xfId="2" applyNumberFormat="1" applyFont="1" applyAlignment="1">
      <alignment horizontal="center"/>
    </xf>
    <xf numFmtId="10" fontId="6" fillId="0" borderId="0" xfId="3" applyNumberFormat="1" applyFont="1" applyAlignment="1">
      <alignment horizontal="center"/>
    </xf>
    <xf numFmtId="0" fontId="9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11</xdr:col>
      <xdr:colOff>95250</xdr:colOff>
      <xdr:row>43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BCF134-41BA-4C73-9FD3-30FEFF45E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6191250" cy="770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44</xdr:row>
      <xdr:rowOff>0</xdr:rowOff>
    </xdr:from>
    <xdr:to>
      <xdr:col>10</xdr:col>
      <xdr:colOff>523875</xdr:colOff>
      <xdr:row>85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F7032E-DF4C-49E7-887A-8394F2251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82000"/>
          <a:ext cx="6010275" cy="782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86</xdr:row>
      <xdr:rowOff>0</xdr:rowOff>
    </xdr:from>
    <xdr:to>
      <xdr:col>10</xdr:col>
      <xdr:colOff>495300</xdr:colOff>
      <xdr:row>116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7D79B3-1FA2-4A99-B646-867731797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83000"/>
          <a:ext cx="5981700" cy="576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117</xdr:row>
      <xdr:rowOff>0</xdr:rowOff>
    </xdr:from>
    <xdr:to>
      <xdr:col>10</xdr:col>
      <xdr:colOff>533400</xdr:colOff>
      <xdr:row>143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9C03F55-4E4C-4517-BA06-A3D7CF9F4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288500"/>
          <a:ext cx="6019800" cy="501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11</xdr:col>
      <xdr:colOff>19050</xdr:colOff>
      <xdr:row>170</xdr:row>
      <xdr:rowOff>28575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7C124A8-3761-48FC-92EB-96B68264F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432000"/>
          <a:ext cx="6115050" cy="498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171</xdr:row>
      <xdr:rowOff>0</xdr:rowOff>
    </xdr:from>
    <xdr:to>
      <xdr:col>10</xdr:col>
      <xdr:colOff>552450</xdr:colOff>
      <xdr:row>193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D5AACAA-6F5D-4C51-BEF9-A144D7E20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575500"/>
          <a:ext cx="6038850" cy="420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194</xdr:row>
      <xdr:rowOff>0</xdr:rowOff>
    </xdr:from>
    <xdr:to>
      <xdr:col>10</xdr:col>
      <xdr:colOff>561975</xdr:colOff>
      <xdr:row>215</xdr:row>
      <xdr:rowOff>85725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06625D3-9078-4234-87FC-EC0E31C86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957000"/>
          <a:ext cx="6048375" cy="408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showGridLines="0" tabSelected="1" workbookViewId="0">
      <selection activeCell="J14" sqref="J14"/>
    </sheetView>
  </sheetViews>
  <sheetFormatPr defaultColWidth="8.85546875" defaultRowHeight="12.75" x14ac:dyDescent="0.2"/>
  <cols>
    <col min="1" max="1" width="25.42578125" style="8" customWidth="1"/>
    <col min="2" max="2" width="1.85546875" style="8" customWidth="1"/>
    <col min="3" max="3" width="1.7109375" style="8" customWidth="1"/>
    <col min="4" max="4" width="16" style="8" customWidth="1"/>
    <col min="5" max="5" width="1.7109375" style="8" customWidth="1"/>
    <col min="6" max="6" width="15.85546875" style="8" customWidth="1"/>
    <col min="7" max="7" width="1.7109375" style="8" customWidth="1"/>
    <col min="8" max="8" width="15.85546875" style="8" customWidth="1"/>
    <col min="9" max="9" width="1.7109375" style="8" customWidth="1"/>
    <col min="10" max="10" width="16" style="8" customWidth="1"/>
    <col min="11" max="11" width="1.7109375" style="8" customWidth="1"/>
    <col min="12" max="12" width="16" style="8" customWidth="1"/>
    <col min="13" max="13" width="1.7109375" style="8" customWidth="1"/>
    <col min="14" max="14" width="13.28515625" style="8" customWidth="1"/>
    <col min="15" max="15" width="1.7109375" style="8" customWidth="1"/>
    <col min="16" max="16" width="16" style="8" customWidth="1"/>
    <col min="17" max="17" width="3.42578125" style="8" customWidth="1"/>
    <col min="18" max="18" width="5.28515625" style="8" customWidth="1"/>
    <col min="19" max="16384" width="8.85546875" style="8"/>
  </cols>
  <sheetData>
    <row r="1" spans="1:18" s="2" customFormat="1" ht="18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Q1" s="3"/>
    </row>
    <row r="2" spans="1:18" s="2" customFormat="1" ht="18" customHeight="1" x14ac:dyDescent="0.25">
      <c r="B2" s="4" t="s">
        <v>0</v>
      </c>
      <c r="C2" s="5"/>
      <c r="D2" s="5"/>
      <c r="E2" s="6"/>
      <c r="F2" s="6"/>
      <c r="G2" s="6"/>
      <c r="H2" s="5"/>
      <c r="I2" s="5"/>
      <c r="J2" s="5"/>
      <c r="K2" s="5"/>
      <c r="L2" s="5"/>
      <c r="M2" s="5"/>
      <c r="N2" s="5"/>
      <c r="O2" s="5"/>
      <c r="P2" s="5"/>
      <c r="Q2" s="7"/>
      <c r="R2" s="7"/>
    </row>
    <row r="3" spans="1:18" s="2" customFormat="1" ht="18" customHeight="1" x14ac:dyDescent="0.25">
      <c r="B3" s="4" t="s">
        <v>4</v>
      </c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7"/>
      <c r="R3" s="7"/>
    </row>
    <row r="4" spans="1:18" s="2" customFormat="1" ht="18" customHeight="1" x14ac:dyDescent="0.25">
      <c r="B4" s="4" t="s">
        <v>68</v>
      </c>
      <c r="C4" s="5"/>
      <c r="D4" s="4"/>
      <c r="E4" s="6"/>
      <c r="F4" s="6"/>
      <c r="G4" s="6"/>
      <c r="H4" s="5"/>
      <c r="I4" s="5"/>
      <c r="J4" s="5"/>
      <c r="K4" s="5"/>
      <c r="L4" s="5"/>
      <c r="M4" s="5"/>
      <c r="N4" s="5"/>
      <c r="O4" s="5"/>
      <c r="P4" s="5"/>
      <c r="Q4" s="7"/>
      <c r="R4" s="7"/>
    </row>
    <row r="7" spans="1:18" ht="63.75" x14ac:dyDescent="0.2">
      <c r="A7" s="35" t="s">
        <v>24</v>
      </c>
      <c r="B7" s="36"/>
      <c r="D7" s="9" t="s">
        <v>29</v>
      </c>
      <c r="F7" s="9" t="s">
        <v>69</v>
      </c>
      <c r="H7" s="9" t="s">
        <v>25</v>
      </c>
      <c r="J7" s="9" t="s">
        <v>2</v>
      </c>
      <c r="L7" s="9" t="s">
        <v>6</v>
      </c>
      <c r="N7" s="9" t="s">
        <v>67</v>
      </c>
      <c r="P7" s="9" t="s">
        <v>3</v>
      </c>
    </row>
    <row r="8" spans="1:18" x14ac:dyDescent="0.2">
      <c r="A8" s="10"/>
    </row>
    <row r="10" spans="1:18" x14ac:dyDescent="0.2">
      <c r="A10" s="10"/>
    </row>
    <row r="11" spans="1:18" x14ac:dyDescent="0.2">
      <c r="A11" s="34" t="s">
        <v>27</v>
      </c>
      <c r="B11" s="37"/>
      <c r="D11" s="95">
        <f>Monthly!C6</f>
        <v>683821999.27606082</v>
      </c>
      <c r="E11" s="95"/>
      <c r="F11" s="95">
        <f>Monthly!C7</f>
        <v>23581731.065941188</v>
      </c>
      <c r="G11" s="95"/>
      <c r="H11" s="95">
        <f>Monthly!C8</f>
        <v>4729125.2193526989</v>
      </c>
      <c r="I11" s="95"/>
      <c r="J11" s="95">
        <f>+D11-F11-H11</f>
        <v>655511142.99076688</v>
      </c>
      <c r="K11" s="95"/>
      <c r="L11" s="95">
        <f>Monthly!C11</f>
        <v>-3223143</v>
      </c>
      <c r="M11" s="37"/>
      <c r="N11" s="96">
        <f>+L11/J11</f>
        <v>-4.9169919298311599E-3</v>
      </c>
      <c r="O11" s="37"/>
      <c r="P11" s="95">
        <f>+N11*J11</f>
        <v>-3223143.0000000005</v>
      </c>
    </row>
    <row r="12" spans="1:18" x14ac:dyDescent="0.2">
      <c r="A12" s="34"/>
      <c r="B12" s="38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0"/>
      <c r="N12" s="12"/>
      <c r="O12" s="10"/>
      <c r="P12" s="11"/>
    </row>
    <row r="13" spans="1:18" s="28" customFormat="1" x14ac:dyDescent="0.2">
      <c r="A13" s="30"/>
      <c r="D13" s="31"/>
      <c r="E13" s="31"/>
      <c r="F13" s="31"/>
      <c r="G13" s="31"/>
      <c r="H13" s="31"/>
      <c r="I13" s="31"/>
      <c r="J13" s="31"/>
      <c r="K13" s="31"/>
      <c r="L13" s="31"/>
      <c r="N13" s="32"/>
      <c r="P13" s="31"/>
    </row>
    <row r="14" spans="1:18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8" s="28" customFormat="1" x14ac:dyDescent="0.2">
      <c r="B15" s="29"/>
    </row>
    <row r="16" spans="1:18" s="28" customFormat="1" x14ac:dyDescent="0.2"/>
    <row r="17" spans="1:16" s="28" customFormat="1" x14ac:dyDescent="0.2">
      <c r="A17" s="30"/>
      <c r="D17" s="31"/>
      <c r="E17" s="31"/>
      <c r="F17" s="31"/>
      <c r="G17" s="31"/>
      <c r="H17" s="31"/>
      <c r="I17" s="31"/>
      <c r="J17" s="31"/>
      <c r="K17" s="31"/>
      <c r="L17" s="31"/>
      <c r="N17" s="32"/>
      <c r="P17" s="31"/>
    </row>
    <row r="18" spans="1:16" s="28" customFormat="1" x14ac:dyDescent="0.2">
      <c r="A18" s="30" t="s">
        <v>28</v>
      </c>
      <c r="D18" s="31"/>
      <c r="E18" s="31"/>
      <c r="F18" s="31"/>
      <c r="G18" s="31"/>
      <c r="H18" s="31"/>
      <c r="I18" s="31"/>
      <c r="J18" s="31"/>
      <c r="K18" s="31"/>
      <c r="L18" s="31"/>
      <c r="N18" s="32"/>
      <c r="P18" s="31"/>
    </row>
    <row r="19" spans="1:16" s="28" customFormat="1" x14ac:dyDescent="0.2">
      <c r="A19" s="30"/>
      <c r="D19" s="31"/>
      <c r="E19" s="31"/>
      <c r="F19" s="31"/>
      <c r="G19" s="31"/>
      <c r="H19" s="31"/>
      <c r="I19" s="31"/>
      <c r="J19" s="31"/>
      <c r="K19" s="31"/>
      <c r="L19" s="31"/>
      <c r="N19" s="32"/>
      <c r="P19" s="31"/>
    </row>
    <row r="20" spans="1:16" s="28" customFormat="1" x14ac:dyDescent="0.2"/>
    <row r="21" spans="1:16" s="28" customFormat="1" x14ac:dyDescent="0.2">
      <c r="N21" s="33"/>
    </row>
    <row r="22" spans="1:16" s="28" customFormat="1" x14ac:dyDescent="0.2"/>
    <row r="23" spans="1:16" s="28" customFormat="1" x14ac:dyDescent="0.2"/>
    <row r="24" spans="1:16" s="28" customFormat="1" x14ac:dyDescent="0.2"/>
    <row r="25" spans="1:16" s="28" customFormat="1" x14ac:dyDescent="0.2"/>
    <row r="26" spans="1:16" s="28" customFormat="1" x14ac:dyDescent="0.2"/>
  </sheetData>
  <phoneticPr fontId="12" type="noConversion"/>
  <pageMargins left="0.7" right="0.7" top="0.75" bottom="0.75" header="0.3" footer="0.3"/>
  <pageSetup scale="82" orientation="landscape" r:id="rId1"/>
  <headerFooter>
    <oddFooter>&amp;C&amp;A&amp;RApril 30,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18E0C-FBC1-4943-8B84-7DBE21FB7EF9}">
  <dimension ref="A2:Q35"/>
  <sheetViews>
    <sheetView zoomScale="80" zoomScaleNormal="80" workbookViewId="0">
      <selection activeCell="B14" sqref="B14"/>
    </sheetView>
  </sheetViews>
  <sheetFormatPr defaultColWidth="9.140625" defaultRowHeight="15" x14ac:dyDescent="0.25"/>
  <cols>
    <col min="1" max="1" width="49.28515625" style="15" bestFit="1" customWidth="1"/>
    <col min="2" max="2" width="17.42578125" style="15" customWidth="1"/>
    <col min="3" max="3" width="16.28515625" style="16" bestFit="1" customWidth="1"/>
    <col min="4" max="15" width="15.42578125" style="15" bestFit="1" customWidth="1"/>
    <col min="16" max="16" width="9.140625" style="15"/>
    <col min="17" max="17" width="13.85546875" style="15" bestFit="1" customWidth="1"/>
    <col min="18" max="16384" width="9.140625" style="15"/>
  </cols>
  <sheetData>
    <row r="2" spans="1:15" ht="15.75" thickBot="1" x14ac:dyDescent="0.3"/>
    <row r="3" spans="1:15" s="14" customFormat="1" x14ac:dyDescent="0.25">
      <c r="A3" s="50"/>
      <c r="B3" s="51"/>
      <c r="C3" s="76"/>
      <c r="D3" s="52" t="s">
        <v>10</v>
      </c>
      <c r="E3" s="51" t="s">
        <v>10</v>
      </c>
      <c r="F3" s="51" t="s">
        <v>10</v>
      </c>
      <c r="G3" s="51" t="s">
        <v>11</v>
      </c>
      <c r="H3" s="51" t="s">
        <v>11</v>
      </c>
      <c r="I3" s="51" t="s">
        <v>11</v>
      </c>
      <c r="J3" s="51" t="s">
        <v>11</v>
      </c>
      <c r="K3" s="51" t="s">
        <v>11</v>
      </c>
      <c r="L3" s="51" t="s">
        <v>11</v>
      </c>
      <c r="M3" s="51" t="s">
        <v>11</v>
      </c>
      <c r="N3" s="51" t="s">
        <v>11</v>
      </c>
      <c r="O3" s="53" t="s">
        <v>11</v>
      </c>
    </row>
    <row r="4" spans="1:15" s="39" customFormat="1" x14ac:dyDescent="0.25">
      <c r="A4" s="54"/>
      <c r="B4" s="55"/>
      <c r="C4" s="55" t="s">
        <v>9</v>
      </c>
      <c r="D4" s="44">
        <v>44743</v>
      </c>
      <c r="E4" s="56">
        <v>44774</v>
      </c>
      <c r="F4" s="56">
        <v>44805</v>
      </c>
      <c r="G4" s="56">
        <v>44835</v>
      </c>
      <c r="H4" s="56">
        <v>44866</v>
      </c>
      <c r="I4" s="56">
        <v>44896</v>
      </c>
      <c r="J4" s="56">
        <v>44927</v>
      </c>
      <c r="K4" s="56">
        <v>44958</v>
      </c>
      <c r="L4" s="56">
        <v>44986</v>
      </c>
      <c r="M4" s="56">
        <v>45017</v>
      </c>
      <c r="N4" s="56">
        <v>45047</v>
      </c>
      <c r="O4" s="57">
        <v>45078</v>
      </c>
    </row>
    <row r="5" spans="1:15" s="39" customFormat="1" x14ac:dyDescent="0.25">
      <c r="A5" s="54"/>
      <c r="B5" s="55"/>
      <c r="C5" s="55"/>
      <c r="D5" s="44"/>
      <c r="E5" s="56"/>
      <c r="F5" s="56"/>
      <c r="G5" s="56"/>
      <c r="H5" s="56"/>
      <c r="I5" s="56"/>
      <c r="J5" s="56"/>
      <c r="K5" s="56"/>
      <c r="L5" s="56"/>
      <c r="M5" s="56"/>
      <c r="N5" s="56"/>
      <c r="O5" s="57"/>
    </row>
    <row r="6" spans="1:15" x14ac:dyDescent="0.25">
      <c r="A6" s="58" t="s">
        <v>1</v>
      </c>
      <c r="B6" s="40"/>
      <c r="C6" s="77">
        <f>SUM(D6:O6)</f>
        <v>683821999.27606082</v>
      </c>
      <c r="D6" s="45">
        <v>60812635.84615761</v>
      </c>
      <c r="E6" s="41">
        <v>59585188.140257336</v>
      </c>
      <c r="F6" s="41">
        <v>53851464.085032426</v>
      </c>
      <c r="G6" s="41">
        <v>54005230.367875673</v>
      </c>
      <c r="H6" s="41">
        <v>54826211.697018333</v>
      </c>
      <c r="I6" s="41">
        <v>63005435.880987786</v>
      </c>
      <c r="J6" s="41">
        <v>64155007.845108971</v>
      </c>
      <c r="K6" s="41">
        <v>58801032.545956299</v>
      </c>
      <c r="L6" s="41">
        <v>57379185.500246376</v>
      </c>
      <c r="M6" s="41">
        <v>51035283.331924468</v>
      </c>
      <c r="N6" s="41">
        <v>50924597.022606827</v>
      </c>
      <c r="O6" s="59">
        <v>55440727.012888707</v>
      </c>
    </row>
    <row r="7" spans="1:15" x14ac:dyDescent="0.25">
      <c r="A7" s="58" t="s">
        <v>69</v>
      </c>
      <c r="B7" s="40"/>
      <c r="C7" s="77">
        <f>SUM(D7:O7)</f>
        <v>23581731.065941188</v>
      </c>
      <c r="D7" s="45">
        <v>3514278.9999999995</v>
      </c>
      <c r="E7" s="41">
        <v>3321677</v>
      </c>
      <c r="F7" s="41">
        <v>3059645</v>
      </c>
      <c r="G7" s="41">
        <v>1586798.0322</v>
      </c>
      <c r="H7" s="41">
        <v>1504575.8694</v>
      </c>
      <c r="I7" s="41">
        <v>1507414.2709999999</v>
      </c>
      <c r="J7" s="41">
        <v>1498467.2276722223</v>
      </c>
      <c r="K7" s="41">
        <v>1354467.3556689655</v>
      </c>
      <c r="L7" s="41">
        <v>1505065.8224000002</v>
      </c>
      <c r="M7" s="41">
        <v>1469616.7949999999</v>
      </c>
      <c r="N7" s="41">
        <v>1611805.2526</v>
      </c>
      <c r="O7" s="59">
        <v>1647919.44</v>
      </c>
    </row>
    <row r="8" spans="1:15" x14ac:dyDescent="0.25">
      <c r="A8" s="60" t="s">
        <v>7</v>
      </c>
      <c r="B8" s="42"/>
      <c r="C8" s="78">
        <f>SUM(D8:O8)</f>
        <v>4729125.2193526989</v>
      </c>
      <c r="D8" s="46">
        <f>D30</f>
        <v>405014.48359360808</v>
      </c>
      <c r="E8" s="43">
        <f t="shared" ref="E8:O8" si="0">E30</f>
        <v>401339.66104821279</v>
      </c>
      <c r="F8" s="43">
        <f t="shared" si="0"/>
        <v>384302.18128309777</v>
      </c>
      <c r="G8" s="43">
        <f t="shared" si="0"/>
        <v>391479.51813214493</v>
      </c>
      <c r="H8" s="43">
        <f t="shared" si="0"/>
        <v>387984.18773469189</v>
      </c>
      <c r="I8" s="43">
        <f t="shared" si="0"/>
        <v>401869.17227325711</v>
      </c>
      <c r="J8" s="43">
        <f t="shared" si="0"/>
        <v>406781.10019387014</v>
      </c>
      <c r="K8" s="43">
        <f t="shared" si="0"/>
        <v>393679.08040768193</v>
      </c>
      <c r="L8" s="43">
        <f t="shared" si="0"/>
        <v>390835.63395853911</v>
      </c>
      <c r="M8" s="43">
        <f t="shared" si="0"/>
        <v>379736.73738393188</v>
      </c>
      <c r="N8" s="43">
        <f t="shared" si="0"/>
        <v>384261.25591442978</v>
      </c>
      <c r="O8" s="61">
        <f t="shared" si="0"/>
        <v>401842.20742923266</v>
      </c>
    </row>
    <row r="9" spans="1:15" x14ac:dyDescent="0.25">
      <c r="A9" s="62" t="s">
        <v>8</v>
      </c>
      <c r="B9" s="63"/>
      <c r="C9" s="77">
        <f>C6-C7-C8</f>
        <v>655511142.99076688</v>
      </c>
      <c r="D9" s="45">
        <f>D6-D7-D8</f>
        <v>56893342.362564005</v>
      </c>
      <c r="E9" s="41">
        <f>E6-E7-E8</f>
        <v>55862171.479209125</v>
      </c>
      <c r="F9" s="41">
        <f t="shared" ref="F9" si="1">F6-F7-F8</f>
        <v>50407516.903749324</v>
      </c>
      <c r="G9" s="41">
        <f>G6-G7-G8</f>
        <v>52026952.817543529</v>
      </c>
      <c r="H9" s="41">
        <f t="shared" ref="H9:O9" si="2">H6-H7-H8</f>
        <v>52933651.639883637</v>
      </c>
      <c r="I9" s="41">
        <f t="shared" si="2"/>
        <v>61096152.437714532</v>
      </c>
      <c r="J9" s="41">
        <f t="shared" si="2"/>
        <v>62249759.517242879</v>
      </c>
      <c r="K9" s="41">
        <f t="shared" si="2"/>
        <v>57052886.109879658</v>
      </c>
      <c r="L9" s="41">
        <f t="shared" si="2"/>
        <v>55483284.043887831</v>
      </c>
      <c r="M9" s="41">
        <f t="shared" si="2"/>
        <v>49185929.799540535</v>
      </c>
      <c r="N9" s="41">
        <f t="shared" si="2"/>
        <v>48928530.514092401</v>
      </c>
      <c r="O9" s="59">
        <f t="shared" si="2"/>
        <v>53390965.365459479</v>
      </c>
    </row>
    <row r="10" spans="1:15" x14ac:dyDescent="0.25">
      <c r="A10" s="64"/>
      <c r="B10" s="63"/>
      <c r="C10" s="79"/>
      <c r="D10" s="47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5"/>
    </row>
    <row r="11" spans="1:15" ht="28.5" customHeight="1" x14ac:dyDescent="0.25">
      <c r="A11" s="66" t="s">
        <v>6</v>
      </c>
      <c r="B11" s="67"/>
      <c r="C11" s="80">
        <v>-3223143</v>
      </c>
      <c r="D11" s="48">
        <f>D9*$C$13</f>
        <v>-279744.10525784845</v>
      </c>
      <c r="E11" s="68">
        <f t="shared" ref="E11:O11" si="3">E9*$C$13</f>
        <v>-274673.84634611564</v>
      </c>
      <c r="F11" s="68">
        <f t="shared" si="3"/>
        <v>-247853.35381856319</v>
      </c>
      <c r="G11" s="68">
        <f t="shared" si="3"/>
        <v>-255816.10713756806</v>
      </c>
      <c r="H11" s="68">
        <f t="shared" si="3"/>
        <v>-260274.33792980178</v>
      </c>
      <c r="I11" s="68">
        <f t="shared" si="3"/>
        <v>-300409.28847997671</v>
      </c>
      <c r="J11" s="68">
        <f t="shared" si="3"/>
        <v>-306081.56518021366</v>
      </c>
      <c r="K11" s="68">
        <f t="shared" si="3"/>
        <v>-280528.58057585458</v>
      </c>
      <c r="L11" s="68">
        <f t="shared" si="3"/>
        <v>-272810.8598843264</v>
      </c>
      <c r="M11" s="68">
        <f t="shared" si="3"/>
        <v>-241846.81988558278</v>
      </c>
      <c r="N11" s="68">
        <f t="shared" si="3"/>
        <v>-240581.18967629</v>
      </c>
      <c r="O11" s="69">
        <f t="shared" si="3"/>
        <v>-262522.94582785922</v>
      </c>
    </row>
    <row r="12" spans="1:15" x14ac:dyDescent="0.25">
      <c r="A12" s="64"/>
      <c r="B12" s="63"/>
      <c r="C12" s="79"/>
      <c r="D12" s="47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5"/>
    </row>
    <row r="13" spans="1:15" x14ac:dyDescent="0.25">
      <c r="A13" s="64" t="s">
        <v>26</v>
      </c>
      <c r="B13" s="63"/>
      <c r="C13" s="81">
        <f>C11/C9</f>
        <v>-4.9169919298311599E-3</v>
      </c>
      <c r="D13" s="4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</row>
    <row r="14" spans="1:15" ht="15.75" thickBot="1" x14ac:dyDescent="0.3">
      <c r="A14" s="72"/>
      <c r="B14" s="73"/>
      <c r="C14" s="82"/>
      <c r="D14" s="74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5"/>
    </row>
    <row r="19" spans="1:17" x14ac:dyDescent="0.25">
      <c r="C19" s="15"/>
      <c r="D19" s="16"/>
    </row>
    <row r="20" spans="1:17" s="14" customFormat="1" x14ac:dyDescent="0.25">
      <c r="B20" s="14" t="s">
        <v>30</v>
      </c>
      <c r="C20" s="14" t="s">
        <v>31</v>
      </c>
      <c r="D20" s="97"/>
    </row>
    <row r="21" spans="1:17" s="14" customFormat="1" x14ac:dyDescent="0.25">
      <c r="B21" s="14" t="s">
        <v>32</v>
      </c>
      <c r="C21" s="14" t="s">
        <v>33</v>
      </c>
      <c r="Q21" s="14" t="s">
        <v>34</v>
      </c>
    </row>
    <row r="22" spans="1:17" s="14" customFormat="1" x14ac:dyDescent="0.25">
      <c r="B22" s="14">
        <v>2021</v>
      </c>
      <c r="C22" s="14" t="s">
        <v>47</v>
      </c>
      <c r="D22" s="14" t="s">
        <v>35</v>
      </c>
      <c r="E22" s="14" t="s">
        <v>36</v>
      </c>
      <c r="F22" s="14" t="s">
        <v>37</v>
      </c>
      <c r="G22" s="14" t="s">
        <v>38</v>
      </c>
      <c r="H22" s="14" t="s">
        <v>39</v>
      </c>
      <c r="I22" s="14" t="s">
        <v>40</v>
      </c>
      <c r="J22" s="14" t="s">
        <v>41</v>
      </c>
      <c r="K22" s="14" t="s">
        <v>42</v>
      </c>
      <c r="L22" s="14" t="s">
        <v>43</v>
      </c>
      <c r="M22" s="14" t="s">
        <v>44</v>
      </c>
      <c r="N22" s="14" t="s">
        <v>45</v>
      </c>
      <c r="O22" s="14" t="s">
        <v>46</v>
      </c>
      <c r="Q22" s="14" t="s">
        <v>48</v>
      </c>
    </row>
    <row r="23" spans="1:17" s="14" customFormat="1" x14ac:dyDescent="0.25">
      <c r="B23" s="14" t="s">
        <v>49</v>
      </c>
      <c r="C23" s="98">
        <v>45107</v>
      </c>
      <c r="D23" s="14">
        <v>2022</v>
      </c>
      <c r="E23" s="14">
        <v>2022</v>
      </c>
      <c r="F23" s="14">
        <v>2022</v>
      </c>
      <c r="G23" s="14">
        <v>2022</v>
      </c>
      <c r="H23" s="14">
        <v>2022</v>
      </c>
      <c r="I23" s="14">
        <v>2022</v>
      </c>
      <c r="J23" s="14">
        <v>2023</v>
      </c>
      <c r="K23" s="14">
        <v>2023</v>
      </c>
      <c r="L23" s="14">
        <v>2023</v>
      </c>
      <c r="M23" s="14">
        <v>2023</v>
      </c>
      <c r="N23" s="14">
        <v>2023</v>
      </c>
      <c r="O23" s="14">
        <v>2023</v>
      </c>
      <c r="Q23" s="14">
        <v>2021</v>
      </c>
    </row>
    <row r="24" spans="1:17" s="14" customFormat="1" x14ac:dyDescent="0.25"/>
    <row r="25" spans="1:17" x14ac:dyDescent="0.25">
      <c r="A25" s="15" t="s">
        <v>50</v>
      </c>
      <c r="B25" s="83">
        <v>7.9932078377534298E-4</v>
      </c>
      <c r="C25" s="85">
        <f>SUM(D25:O25)</f>
        <v>244710.33668222692</v>
      </c>
      <c r="D25" s="86">
        <v>21049.883626569765</v>
      </c>
      <c r="E25" s="85">
        <v>20072.054771983869</v>
      </c>
      <c r="F25" s="85">
        <v>17598.509010699738</v>
      </c>
      <c r="G25" s="85">
        <v>19068.81179749221</v>
      </c>
      <c r="H25" s="85">
        <v>19818.794402202908</v>
      </c>
      <c r="I25" s="85">
        <v>24396.398966997305</v>
      </c>
      <c r="J25" s="85">
        <v>25130.88964246475</v>
      </c>
      <c r="K25" s="85">
        <v>22601.92998154807</v>
      </c>
      <c r="L25" s="85">
        <v>21828.686303042796</v>
      </c>
      <c r="M25" s="85">
        <v>17876.797499041248</v>
      </c>
      <c r="N25" s="85">
        <v>16675.236440661909</v>
      </c>
      <c r="O25" s="85">
        <v>18592.344239522321</v>
      </c>
      <c r="P25" s="85"/>
      <c r="Q25" s="13">
        <f>'2021 actuals'!P6</f>
        <v>244704</v>
      </c>
    </row>
    <row r="26" spans="1:17" x14ac:dyDescent="0.25">
      <c r="A26" s="15" t="s">
        <v>51</v>
      </c>
      <c r="B26" s="83">
        <v>6.7462503061355306E-3</v>
      </c>
      <c r="C26" s="85">
        <f t="shared" ref="C26:C30" si="4">SUM(D26:O26)</f>
        <v>1727507.9632827239</v>
      </c>
      <c r="D26" s="86">
        <v>157956.41586020635</v>
      </c>
      <c r="E26" s="85">
        <v>155223.59052809991</v>
      </c>
      <c r="F26" s="85">
        <v>140672.95436051523</v>
      </c>
      <c r="G26" s="85">
        <v>141471.04671449063</v>
      </c>
      <c r="H26" s="85">
        <v>137189.53917358519</v>
      </c>
      <c r="I26" s="85">
        <v>146431.75094047165</v>
      </c>
      <c r="J26" s="85">
        <v>150632.3101412626</v>
      </c>
      <c r="K26" s="85">
        <v>140088.41694852235</v>
      </c>
      <c r="L26" s="85">
        <v>138036.3781875865</v>
      </c>
      <c r="M26" s="85">
        <v>130907.94787297907</v>
      </c>
      <c r="N26" s="85">
        <v>136609.56696228852</v>
      </c>
      <c r="O26" s="85">
        <v>152288.04559271561</v>
      </c>
      <c r="P26" s="85"/>
      <c r="Q26" s="13">
        <f>'2021 actuals'!P10</f>
        <v>1609238</v>
      </c>
    </row>
    <row r="27" spans="1:17" x14ac:dyDescent="0.25">
      <c r="A27" s="15" t="s">
        <v>52</v>
      </c>
      <c r="B27" s="83">
        <v>6.0366629772789966E-5</v>
      </c>
      <c r="C27" s="85">
        <f t="shared" si="4"/>
        <v>5751.2441875881614</v>
      </c>
      <c r="D27" s="86">
        <v>442.13246253189868</v>
      </c>
      <c r="E27" s="85">
        <v>477.9641038289555</v>
      </c>
      <c r="F27" s="85">
        <v>464.6662675827256</v>
      </c>
      <c r="G27" s="85">
        <v>444.37959046652225</v>
      </c>
      <c r="H27" s="85">
        <v>480.574129208214</v>
      </c>
      <c r="I27" s="85">
        <v>545.74233609261648</v>
      </c>
      <c r="J27" s="85">
        <v>522.62038044735903</v>
      </c>
      <c r="K27" s="85">
        <v>493.45344791610307</v>
      </c>
      <c r="L27" s="85">
        <v>475.28943821437201</v>
      </c>
      <c r="M27" s="85">
        <v>456.71198221616186</v>
      </c>
      <c r="N27" s="85">
        <v>481.17248178392646</v>
      </c>
      <c r="O27" s="85">
        <v>466.53756729930632</v>
      </c>
      <c r="P27" s="85"/>
      <c r="Q27" s="13">
        <f>'2021 actuals'!P14</f>
        <v>5309</v>
      </c>
    </row>
    <row r="28" spans="1:17" x14ac:dyDescent="0.25">
      <c r="A28" s="63" t="s">
        <v>53</v>
      </c>
      <c r="B28" s="70">
        <v>0</v>
      </c>
      <c r="C28" s="88">
        <f t="shared" si="4"/>
        <v>0</v>
      </c>
      <c r="D28" s="89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/>
      <c r="Q28" s="13">
        <f>'2021 actuals'!P18</f>
        <v>0</v>
      </c>
    </row>
    <row r="29" spans="1:17" x14ac:dyDescent="0.25">
      <c r="A29" s="42" t="s">
        <v>54</v>
      </c>
      <c r="B29" s="90"/>
      <c r="C29" s="91">
        <f t="shared" si="4"/>
        <v>2751155.6752001592</v>
      </c>
      <c r="D29" s="92">
        <v>225566.05164430005</v>
      </c>
      <c r="E29" s="91">
        <v>225566.05164430005</v>
      </c>
      <c r="F29" s="91">
        <v>225566.05164430005</v>
      </c>
      <c r="G29" s="91">
        <v>230495.28002969554</v>
      </c>
      <c r="H29" s="91">
        <v>230495.28002969554</v>
      </c>
      <c r="I29" s="91">
        <v>230495.28002969554</v>
      </c>
      <c r="J29" s="91">
        <v>230495.28002969539</v>
      </c>
      <c r="K29" s="91">
        <v>230495.28002969539</v>
      </c>
      <c r="L29" s="91">
        <v>230495.28002969539</v>
      </c>
      <c r="M29" s="91">
        <v>230495.28002969539</v>
      </c>
      <c r="N29" s="91">
        <v>230495.28002969539</v>
      </c>
      <c r="O29" s="91">
        <v>230495.28002969539</v>
      </c>
      <c r="P29" s="91"/>
      <c r="Q29" s="43">
        <f>'2021 actuals'!P22</f>
        <v>2664159</v>
      </c>
    </row>
    <row r="30" spans="1:17" s="16" customFormat="1" x14ac:dyDescent="0.25">
      <c r="A30" s="16" t="s">
        <v>55</v>
      </c>
      <c r="B30" s="87"/>
      <c r="C30" s="84">
        <f t="shared" si="4"/>
        <v>4729125.2193526989</v>
      </c>
      <c r="D30" s="84">
        <v>405014.48359360808</v>
      </c>
      <c r="E30" s="84">
        <v>401339.66104821279</v>
      </c>
      <c r="F30" s="84">
        <v>384302.18128309777</v>
      </c>
      <c r="G30" s="84">
        <v>391479.51813214493</v>
      </c>
      <c r="H30" s="84">
        <v>387984.18773469189</v>
      </c>
      <c r="I30" s="84">
        <v>401869.17227325711</v>
      </c>
      <c r="J30" s="84">
        <v>406781.10019387014</v>
      </c>
      <c r="K30" s="84">
        <v>393679.08040768193</v>
      </c>
      <c r="L30" s="84">
        <v>390835.63395853911</v>
      </c>
      <c r="M30" s="84">
        <v>379736.73738393188</v>
      </c>
      <c r="N30" s="84">
        <v>384261.25591442978</v>
      </c>
      <c r="O30" s="84">
        <v>401842.20742923266</v>
      </c>
      <c r="P30" s="84"/>
      <c r="Q30" s="13">
        <f>SUM(Q25:Q29)</f>
        <v>4523410</v>
      </c>
    </row>
    <row r="31" spans="1:17" x14ac:dyDescent="0.25">
      <c r="C31" s="15"/>
    </row>
    <row r="32" spans="1:17" x14ac:dyDescent="0.25">
      <c r="C32" s="15"/>
      <c r="D32" s="16"/>
    </row>
    <row r="33" spans="3:4" x14ac:dyDescent="0.25">
      <c r="C33" s="15"/>
      <c r="D33" s="16"/>
    </row>
    <row r="34" spans="3:4" x14ac:dyDescent="0.25">
      <c r="C34" s="15"/>
      <c r="D34" s="16"/>
    </row>
    <row r="35" spans="3:4" x14ac:dyDescent="0.25">
      <c r="C35" s="15"/>
      <c r="D35" s="1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941C7-54A9-477C-B7DA-184F3C0FB7C4}">
  <dimension ref="A2:W35"/>
  <sheetViews>
    <sheetView zoomScale="70" zoomScaleNormal="70" workbookViewId="0">
      <pane ySplit="3" topLeftCell="A4" activePane="bottomLeft" state="frozen"/>
      <selection pane="bottomLeft" activeCell="R25" sqref="R25"/>
    </sheetView>
  </sheetViews>
  <sheetFormatPr defaultColWidth="8.85546875" defaultRowHeight="15" x14ac:dyDescent="0.25"/>
  <cols>
    <col min="2" max="2" width="6.7109375" customWidth="1"/>
    <col min="3" max="3" width="5.7109375" customWidth="1"/>
    <col min="10" max="10" width="2.42578125" customWidth="1"/>
    <col min="11" max="16" width="14.140625" customWidth="1"/>
    <col min="17" max="17" width="2.28515625" customWidth="1"/>
  </cols>
  <sheetData>
    <row r="2" spans="1:23" x14ac:dyDescent="0.25">
      <c r="A2" s="17"/>
      <c r="B2" s="17"/>
      <c r="C2" s="17"/>
      <c r="D2" s="99" t="s">
        <v>12</v>
      </c>
      <c r="E2" s="99"/>
      <c r="F2" s="99"/>
      <c r="G2" s="99"/>
      <c r="H2" s="99"/>
      <c r="I2" s="99"/>
      <c r="K2" s="99" t="s">
        <v>13</v>
      </c>
      <c r="L2" s="99"/>
      <c r="M2" s="99"/>
      <c r="N2" s="99"/>
      <c r="O2" s="99"/>
      <c r="P2" s="99"/>
      <c r="R2" s="99" t="s">
        <v>14</v>
      </c>
      <c r="S2" s="99"/>
      <c r="T2" s="99"/>
      <c r="U2" s="99"/>
      <c r="V2" s="99"/>
      <c r="W2" s="99"/>
    </row>
    <row r="3" spans="1:23" s="22" customFormat="1" ht="12.75" x14ac:dyDescent="0.2">
      <c r="A3" s="20" t="s">
        <v>15</v>
      </c>
      <c r="B3" s="20" t="s">
        <v>16</v>
      </c>
      <c r="C3" s="20" t="s">
        <v>17</v>
      </c>
      <c r="D3" s="21" t="s">
        <v>18</v>
      </c>
      <c r="E3" s="21" t="s">
        <v>19</v>
      </c>
      <c r="F3" s="21" t="s">
        <v>20</v>
      </c>
      <c r="G3" s="21" t="s">
        <v>21</v>
      </c>
      <c r="H3" s="21" t="s">
        <v>22</v>
      </c>
      <c r="I3" s="21" t="s">
        <v>9</v>
      </c>
      <c r="K3" s="21" t="s">
        <v>18</v>
      </c>
      <c r="L3" s="21" t="s">
        <v>19</v>
      </c>
      <c r="M3" s="21" t="s">
        <v>20</v>
      </c>
      <c r="N3" s="21" t="s">
        <v>21</v>
      </c>
      <c r="O3" s="21" t="s">
        <v>22</v>
      </c>
      <c r="P3" s="21" t="s">
        <v>9</v>
      </c>
      <c r="R3" s="21" t="s">
        <v>18</v>
      </c>
      <c r="S3" s="21" t="s">
        <v>19</v>
      </c>
      <c r="T3" s="21" t="s">
        <v>20</v>
      </c>
      <c r="U3" s="21" t="s">
        <v>21</v>
      </c>
      <c r="V3" s="21" t="s">
        <v>22</v>
      </c>
      <c r="W3" s="21" t="s">
        <v>9</v>
      </c>
    </row>
    <row r="6" spans="1:23" x14ac:dyDescent="0.25">
      <c r="A6" s="17">
        <v>2022</v>
      </c>
      <c r="B6" s="17">
        <v>10</v>
      </c>
      <c r="C6" s="17">
        <v>2023</v>
      </c>
      <c r="D6" s="18">
        <v>112938.04931107895</v>
      </c>
      <c r="E6" s="18">
        <v>117951.37657769807</v>
      </c>
      <c r="F6" s="18">
        <v>58540.455286770237</v>
      </c>
      <c r="G6" s="18">
        <v>32921.120999999999</v>
      </c>
      <c r="H6" s="18">
        <v>315.10064648437526</v>
      </c>
      <c r="I6" s="18">
        <v>322666.10282203159</v>
      </c>
      <c r="K6" s="18">
        <v>23311827.675616708</v>
      </c>
      <c r="L6" s="18">
        <v>20491743.600580007</v>
      </c>
      <c r="M6" s="18">
        <v>7193346.348363773</v>
      </c>
      <c r="N6" s="18">
        <v>1586798.0322</v>
      </c>
      <c r="O6" s="18">
        <v>225234.97711724002</v>
      </c>
      <c r="P6" s="18">
        <v>52808950.633877732</v>
      </c>
      <c r="R6" s="19">
        <v>0.20641252277526165</v>
      </c>
      <c r="S6" s="19">
        <v>0.17373043193846482</v>
      </c>
      <c r="T6" s="19">
        <v>0.12287820983157648</v>
      </c>
      <c r="U6" s="19">
        <v>4.82E-2</v>
      </c>
      <c r="V6" s="19">
        <v>0.71480328469719168</v>
      </c>
      <c r="W6" s="19">
        <v>0.16366438919989318</v>
      </c>
    </row>
    <row r="7" spans="1:23" x14ac:dyDescent="0.25">
      <c r="A7" s="17">
        <v>2022</v>
      </c>
      <c r="B7" s="17">
        <v>11</v>
      </c>
      <c r="C7" s="17">
        <v>2023</v>
      </c>
      <c r="D7" s="18">
        <v>118986.60466198396</v>
      </c>
      <c r="E7" s="18">
        <v>114357.29771430515</v>
      </c>
      <c r="F7" s="18">
        <v>64017.307156860254</v>
      </c>
      <c r="G7" s="18">
        <v>31215.267</v>
      </c>
      <c r="H7" s="18">
        <v>315.10064648437526</v>
      </c>
      <c r="I7" s="18">
        <v>328891.57717963372</v>
      </c>
      <c r="K7" s="18">
        <v>24228689.48255033</v>
      </c>
      <c r="L7" s="18">
        <v>19871577.447930783</v>
      </c>
      <c r="M7" s="18">
        <v>7779241.5124844434</v>
      </c>
      <c r="N7" s="18">
        <v>1504575.8694</v>
      </c>
      <c r="O7" s="18">
        <v>225234.97711724002</v>
      </c>
      <c r="P7" s="18">
        <v>53609319.289482802</v>
      </c>
      <c r="R7" s="19">
        <v>0.20362535389070868</v>
      </c>
      <c r="S7" s="19">
        <v>0.17376746255035905</v>
      </c>
      <c r="T7" s="19">
        <v>0.1215177872668579</v>
      </c>
      <c r="U7" s="19">
        <v>4.8199999999999993E-2</v>
      </c>
      <c r="V7" s="19">
        <v>0.71480328469719168</v>
      </c>
      <c r="W7" s="19">
        <v>0.16299997631195801</v>
      </c>
    </row>
    <row r="8" spans="1:23" x14ac:dyDescent="0.25">
      <c r="A8" s="17">
        <v>2022</v>
      </c>
      <c r="B8" s="17">
        <v>12</v>
      </c>
      <c r="C8" s="17">
        <v>2023</v>
      </c>
      <c r="D8" s="18">
        <v>150643.76925831079</v>
      </c>
      <c r="E8" s="18">
        <v>124072.52379709606</v>
      </c>
      <c r="F8" s="18">
        <v>74093.340896218229</v>
      </c>
      <c r="G8" s="18">
        <v>31274.154999999999</v>
      </c>
      <c r="H8" s="18">
        <v>315.10064648437526</v>
      </c>
      <c r="I8" s="18">
        <v>380398.88959810947</v>
      </c>
      <c r="K8" s="18">
        <v>29824860.335504968</v>
      </c>
      <c r="L8" s="18">
        <v>21210289.772661902</v>
      </c>
      <c r="M8" s="18">
        <v>8834144.7822975237</v>
      </c>
      <c r="N8" s="18">
        <v>1507414.2709999999</v>
      </c>
      <c r="O8" s="18">
        <v>225234.97711724002</v>
      </c>
      <c r="P8" s="18">
        <v>61601944.138581634</v>
      </c>
      <c r="R8" s="19">
        <v>0.19798270105923796</v>
      </c>
      <c r="S8" s="19">
        <v>0.17095074012799547</v>
      </c>
      <c r="T8" s="19">
        <v>0.11922994260268838</v>
      </c>
      <c r="U8" s="19">
        <v>4.82E-2</v>
      </c>
      <c r="V8" s="19">
        <v>0.71480328469719168</v>
      </c>
      <c r="W8" s="19">
        <v>0.16194038895240714</v>
      </c>
    </row>
    <row r="9" spans="1:23" x14ac:dyDescent="0.25">
      <c r="A9" s="17">
        <v>2023</v>
      </c>
      <c r="B9" s="17">
        <v>1</v>
      </c>
      <c r="C9" s="17">
        <v>2023</v>
      </c>
      <c r="D9" s="18">
        <v>155960.23228439258</v>
      </c>
      <c r="E9" s="18">
        <v>128164.99111508028</v>
      </c>
      <c r="F9" s="18">
        <v>70004.114113115036</v>
      </c>
      <c r="G9" s="18">
        <v>31088.531694444446</v>
      </c>
      <c r="H9" s="18">
        <v>315.10064648437509</v>
      </c>
      <c r="I9" s="18">
        <v>385532.96985351667</v>
      </c>
      <c r="K9" s="18">
        <v>30722783.09218644</v>
      </c>
      <c r="L9" s="18">
        <v>21818730.75136888</v>
      </c>
      <c r="M9" s="18">
        <v>8459860.636994563</v>
      </c>
      <c r="N9" s="18">
        <v>1498467.2276722223</v>
      </c>
      <c r="O9" s="18">
        <v>225234.97711723991</v>
      </c>
      <c r="P9" s="18">
        <v>62725076.685339339</v>
      </c>
      <c r="R9" s="19">
        <v>0.19699113448461414</v>
      </c>
      <c r="S9" s="19">
        <v>0.17023939658980419</v>
      </c>
      <c r="T9" s="19">
        <v>0.12084804934928298</v>
      </c>
      <c r="U9" s="19">
        <v>4.82E-2</v>
      </c>
      <c r="V9" s="19">
        <v>0.71480328469719168</v>
      </c>
      <c r="W9" s="19">
        <v>0.16269704951348712</v>
      </c>
    </row>
    <row r="10" spans="1:23" x14ac:dyDescent="0.25">
      <c r="A10" s="17">
        <v>2023</v>
      </c>
      <c r="B10" s="17">
        <v>2</v>
      </c>
      <c r="C10" s="17">
        <v>2023</v>
      </c>
      <c r="D10" s="18">
        <v>140351.01081016022</v>
      </c>
      <c r="E10" s="18">
        <v>116580.91450762008</v>
      </c>
      <c r="F10" s="18">
        <v>63569.441795822764</v>
      </c>
      <c r="G10" s="18">
        <v>28100.98248275862</v>
      </c>
      <c r="H10" s="18">
        <v>315.10064648437509</v>
      </c>
      <c r="I10" s="18">
        <v>348917.45024284604</v>
      </c>
      <c r="K10" s="18">
        <v>27631102.685459211</v>
      </c>
      <c r="L10" s="18">
        <v>20291472.977602776</v>
      </c>
      <c r="M10" s="18">
        <v>7987724.0850066096</v>
      </c>
      <c r="N10" s="18">
        <v>1354467.3556689655</v>
      </c>
      <c r="O10" s="18">
        <v>225234.97711723991</v>
      </c>
      <c r="P10" s="18">
        <v>57490002.080854803</v>
      </c>
      <c r="R10" s="19">
        <v>0.19687141920789752</v>
      </c>
      <c r="S10" s="19">
        <v>0.17405484476857885</v>
      </c>
      <c r="T10" s="19">
        <v>0.12565351935387756</v>
      </c>
      <c r="U10" s="19">
        <v>4.82E-2</v>
      </c>
      <c r="V10" s="19">
        <v>0.71480328469719168</v>
      </c>
      <c r="W10" s="19">
        <v>0.16476677231488951</v>
      </c>
    </row>
    <row r="11" spans="1:23" x14ac:dyDescent="0.25">
      <c r="A11" s="17">
        <v>2023</v>
      </c>
      <c r="B11" s="17">
        <v>3</v>
      </c>
      <c r="C11" s="17">
        <v>2023</v>
      </c>
      <c r="D11" s="18">
        <v>132865.24720228428</v>
      </c>
      <c r="E11" s="18">
        <v>116342.34870081235</v>
      </c>
      <c r="F11" s="18">
        <v>62794.250421788776</v>
      </c>
      <c r="G11" s="18">
        <v>31225.432000000001</v>
      </c>
      <c r="H11" s="18">
        <v>315.10064648437509</v>
      </c>
      <c r="I11" s="18">
        <v>343542.37897136976</v>
      </c>
      <c r="K11" s="18">
        <v>26685803.965433795</v>
      </c>
      <c r="L11" s="18">
        <v>19994240.058753926</v>
      </c>
      <c r="M11" s="18">
        <v>7693696.1510899756</v>
      </c>
      <c r="N11" s="18">
        <v>1505065.8224000002</v>
      </c>
      <c r="O11" s="18">
        <v>225234.97711723991</v>
      </c>
      <c r="P11" s="18">
        <v>56104040.974794939</v>
      </c>
      <c r="R11" s="19">
        <v>0.20084863820563456</v>
      </c>
      <c r="S11" s="19">
        <v>0.17185694016003925</v>
      </c>
      <c r="T11" s="19">
        <v>0.12252230258998942</v>
      </c>
      <c r="U11" s="19">
        <v>4.82E-2</v>
      </c>
      <c r="V11" s="19">
        <v>0.71480328469719168</v>
      </c>
      <c r="W11" s="19">
        <v>0.16331039315376736</v>
      </c>
    </row>
    <row r="12" spans="1:23" x14ac:dyDescent="0.25">
      <c r="A12" s="17">
        <v>2023</v>
      </c>
      <c r="B12" s="17">
        <v>4</v>
      </c>
      <c r="C12" s="17">
        <v>2023</v>
      </c>
      <c r="D12" s="18">
        <v>105574.03331659286</v>
      </c>
      <c r="E12" s="18">
        <v>108162.82572095809</v>
      </c>
      <c r="F12" s="18">
        <v>59009.906421431966</v>
      </c>
      <c r="G12" s="18">
        <v>30489.974999999999</v>
      </c>
      <c r="H12" s="18">
        <v>315.10064648437509</v>
      </c>
      <c r="I12" s="18">
        <v>303551.84110546723</v>
      </c>
      <c r="K12" s="18">
        <v>21854577.365137767</v>
      </c>
      <c r="L12" s="18">
        <v>18961703.934409447</v>
      </c>
      <c r="M12" s="18">
        <v>7392975.6001611613</v>
      </c>
      <c r="N12" s="18">
        <v>1469616.7949999999</v>
      </c>
      <c r="O12" s="18">
        <v>225234.97711723991</v>
      </c>
      <c r="P12" s="18">
        <v>49904108.671825618</v>
      </c>
      <c r="R12" s="19">
        <v>0.20700712740225419</v>
      </c>
      <c r="S12" s="19">
        <v>0.17530703185702134</v>
      </c>
      <c r="T12" s="19">
        <v>0.12528363538424603</v>
      </c>
      <c r="U12" s="19">
        <v>4.82E-2</v>
      </c>
      <c r="V12" s="19">
        <v>0.71480328469719168</v>
      </c>
      <c r="W12" s="19">
        <v>0.16440061272593878</v>
      </c>
    </row>
    <row r="13" spans="1:23" x14ac:dyDescent="0.25">
      <c r="A13" s="17">
        <v>2023</v>
      </c>
      <c r="B13" s="17">
        <v>5</v>
      </c>
      <c r="C13" s="17">
        <v>2023</v>
      </c>
      <c r="D13" s="18">
        <v>96190.371032079929</v>
      </c>
      <c r="E13" s="18">
        <v>113080.53500521147</v>
      </c>
      <c r="F13" s="18">
        <v>62186.91973852837</v>
      </c>
      <c r="G13" s="18">
        <v>33439.942999999999</v>
      </c>
      <c r="H13" s="18">
        <v>315.10064648437509</v>
      </c>
      <c r="I13" s="18">
        <v>305212.86942230415</v>
      </c>
      <c r="K13" s="18">
        <v>20385656.037886817</v>
      </c>
      <c r="L13" s="18">
        <v>19787569.856799163</v>
      </c>
      <c r="M13" s="18">
        <v>7788927.2798056128</v>
      </c>
      <c r="N13" s="18">
        <v>1611805.2526</v>
      </c>
      <c r="O13" s="18">
        <v>225234.97711723991</v>
      </c>
      <c r="P13" s="18">
        <v>49799193.404208839</v>
      </c>
      <c r="R13" s="19">
        <v>0.21193031921134919</v>
      </c>
      <c r="S13" s="19">
        <v>0.17498652492126276</v>
      </c>
      <c r="T13" s="19">
        <v>0.12525025057608577</v>
      </c>
      <c r="U13" s="19">
        <v>4.82E-2</v>
      </c>
      <c r="V13" s="19">
        <v>0.71480328469719168</v>
      </c>
      <c r="W13" s="19">
        <v>0.16316216776332843</v>
      </c>
    </row>
    <row r="14" spans="1:23" x14ac:dyDescent="0.25">
      <c r="A14" s="17">
        <v>2023</v>
      </c>
      <c r="B14" s="17">
        <v>6</v>
      </c>
      <c r="C14" s="17">
        <v>2023</v>
      </c>
      <c r="D14" s="18">
        <v>110088.27590179502</v>
      </c>
      <c r="E14" s="18">
        <v>126162.87473797164</v>
      </c>
      <c r="F14" s="18">
        <v>59911.423923298986</v>
      </c>
      <c r="G14" s="18">
        <v>34189.199999999997</v>
      </c>
      <c r="H14" s="18">
        <v>315.10064648437509</v>
      </c>
      <c r="I14" s="18">
        <v>330666.87520955002</v>
      </c>
      <c r="K14" s="18">
        <v>22729340.957389366</v>
      </c>
      <c r="L14" s="18">
        <v>22058560.081323862</v>
      </c>
      <c r="M14" s="18">
        <v>7552026.1913554464</v>
      </c>
      <c r="N14" s="18">
        <v>1647919.44</v>
      </c>
      <c r="O14" s="18">
        <v>225234.97711723991</v>
      </c>
      <c r="P14" s="18">
        <v>54213081.647185914</v>
      </c>
      <c r="R14" s="19">
        <v>0.20646468273937932</v>
      </c>
      <c r="S14" s="19">
        <v>0.17484192657417966</v>
      </c>
      <c r="T14" s="19">
        <v>0.12605319147519936</v>
      </c>
      <c r="U14" s="19">
        <v>4.82E-2</v>
      </c>
      <c r="V14" s="19">
        <v>0.71480328469719168</v>
      </c>
      <c r="W14" s="19">
        <v>0.16395074835612136</v>
      </c>
    </row>
    <row r="15" spans="1:23" x14ac:dyDescent="0.25">
      <c r="A15" s="17">
        <v>2023</v>
      </c>
      <c r="B15" s="17">
        <v>7</v>
      </c>
      <c r="C15" s="17">
        <v>2023</v>
      </c>
      <c r="D15" s="18">
        <v>130759.79407130129</v>
      </c>
      <c r="E15" s="18">
        <v>140211.4825131954</v>
      </c>
      <c r="F15" s="18">
        <v>62639.428762332922</v>
      </c>
      <c r="G15" s="18">
        <v>38383.766000000003</v>
      </c>
      <c r="H15" s="18">
        <v>315.10064648437509</v>
      </c>
      <c r="I15" s="18">
        <v>372309.57199331402</v>
      </c>
      <c r="K15" s="18">
        <v>26490410.080898959</v>
      </c>
      <c r="L15" s="18">
        <v>23957745.996786326</v>
      </c>
      <c r="M15" s="18">
        <v>7803462.8853695597</v>
      </c>
      <c r="N15" s="18">
        <v>1850097.5212000003</v>
      </c>
      <c r="O15" s="18">
        <v>225234.97711723991</v>
      </c>
      <c r="P15" s="18">
        <v>60326951.461372085</v>
      </c>
      <c r="R15" s="19">
        <v>0.20258834352747718</v>
      </c>
      <c r="S15" s="19">
        <v>0.17086864475975885</v>
      </c>
      <c r="T15" s="19">
        <v>0.12457749119931358</v>
      </c>
      <c r="U15" s="19">
        <v>4.82E-2</v>
      </c>
      <c r="V15" s="19">
        <v>0.71480328469719168</v>
      </c>
      <c r="W15" s="19">
        <v>0.1620343821363138</v>
      </c>
    </row>
    <row r="16" spans="1:23" x14ac:dyDescent="0.25">
      <c r="A16" s="17">
        <v>2023</v>
      </c>
      <c r="B16" s="17">
        <v>8</v>
      </c>
      <c r="C16" s="17">
        <v>2023</v>
      </c>
      <c r="D16" s="18">
        <v>125647.7769588917</v>
      </c>
      <c r="E16" s="18">
        <v>137607.72765418471</v>
      </c>
      <c r="F16" s="18">
        <v>64499.506077610327</v>
      </c>
      <c r="G16" s="18">
        <v>36666.402000000002</v>
      </c>
      <c r="H16" s="18">
        <v>315.10064648437509</v>
      </c>
      <c r="I16" s="18">
        <v>364736.51333717105</v>
      </c>
      <c r="K16" s="18">
        <v>25601120.855473205</v>
      </c>
      <c r="L16" s="18">
        <v>23554409.865348302</v>
      </c>
      <c r="M16" s="18">
        <v>8059700.4003471918</v>
      </c>
      <c r="N16" s="18">
        <v>1767320.5764000001</v>
      </c>
      <c r="O16" s="18">
        <v>225234.97711723991</v>
      </c>
      <c r="P16" s="18">
        <v>59207786.67468594</v>
      </c>
      <c r="R16" s="19">
        <v>0.20375307446823471</v>
      </c>
      <c r="S16" s="19">
        <v>0.1711706912604628</v>
      </c>
      <c r="T16" s="19">
        <v>0.12495755224310082</v>
      </c>
      <c r="U16" s="19">
        <v>4.82E-2</v>
      </c>
      <c r="V16" s="19">
        <v>0.71480328469719168</v>
      </c>
      <c r="W16" s="19">
        <v>0.1623302973781319</v>
      </c>
    </row>
    <row r="17" spans="1:23" x14ac:dyDescent="0.25">
      <c r="A17" s="17">
        <v>2023</v>
      </c>
      <c r="B17" s="17">
        <v>9</v>
      </c>
      <c r="C17" s="17">
        <v>2023</v>
      </c>
      <c r="D17" s="18">
        <v>106224.18544957269</v>
      </c>
      <c r="E17" s="18">
        <v>120690.35709515643</v>
      </c>
      <c r="F17" s="18">
        <v>62298.825266535139</v>
      </c>
      <c r="G17" s="18">
        <v>33320.455000000002</v>
      </c>
      <c r="H17" s="18">
        <v>315.10064648437503</v>
      </c>
      <c r="I17" s="18">
        <v>322848.92345774866</v>
      </c>
      <c r="K17" s="18">
        <v>22069160.852451988</v>
      </c>
      <c r="L17" s="18">
        <v>21088458.174610876</v>
      </c>
      <c r="M17" s="18">
        <v>7826240.9678813629</v>
      </c>
      <c r="N17" s="18">
        <v>1606045.9310000001</v>
      </c>
      <c r="O17" s="18">
        <v>225234.97711723988</v>
      </c>
      <c r="P17" s="18">
        <v>52815140.903061472</v>
      </c>
      <c r="R17" s="19">
        <v>0.20776022672283778</v>
      </c>
      <c r="S17" s="19">
        <v>0.17473192293220252</v>
      </c>
      <c r="T17" s="19">
        <v>0.12562421417094297</v>
      </c>
      <c r="U17" s="19">
        <v>4.82E-2</v>
      </c>
      <c r="V17" s="19">
        <v>0.71480328469719168</v>
      </c>
      <c r="W17" s="19">
        <v>0.16359088435979685</v>
      </c>
    </row>
    <row r="20" spans="1:23" x14ac:dyDescent="0.25">
      <c r="A20" t="s">
        <v>23</v>
      </c>
      <c r="K20" s="26">
        <v>2.335473370868767E-2</v>
      </c>
      <c r="L20" s="26">
        <v>2.335473370868767E-2</v>
      </c>
      <c r="M20" s="26">
        <v>2.335473370868767E-2</v>
      </c>
      <c r="N20" s="27">
        <v>0</v>
      </c>
      <c r="O20" s="26">
        <v>2.335473370868767E-2</v>
      </c>
      <c r="P20" s="26">
        <f>P35/SUM(P6:P17)-1</f>
        <v>2.2696181890928591E-2</v>
      </c>
    </row>
    <row r="22" spans="1:23" x14ac:dyDescent="0.25">
      <c r="A22" s="17">
        <v>2022</v>
      </c>
      <c r="B22" s="17">
        <v>10</v>
      </c>
      <c r="C22" s="17">
        <v>2023</v>
      </c>
      <c r="D22" s="23">
        <f>D6</f>
        <v>112938.04931107895</v>
      </c>
      <c r="E22" s="23">
        <f t="shared" ref="E22:H22" si="0">E6</f>
        <v>117951.37657769807</v>
      </c>
      <c r="F22" s="23">
        <f t="shared" si="0"/>
        <v>58540.455286770237</v>
      </c>
      <c r="G22" s="23">
        <f t="shared" si="0"/>
        <v>32921.120999999999</v>
      </c>
      <c r="H22" s="23">
        <f t="shared" si="0"/>
        <v>315.10064648437526</v>
      </c>
      <c r="I22" s="23">
        <f>SUM(D22:H22)</f>
        <v>322666.10282203159</v>
      </c>
      <c r="K22" s="13">
        <f>K6*(1+K$20)</f>
        <v>23856269.20324355</v>
      </c>
      <c r="L22" s="13">
        <f t="shared" ref="L22:O22" si="1">L6*(1+L$20)</f>
        <v>20970322.815598257</v>
      </c>
      <c r="M22" s="13">
        <f t="shared" si="1"/>
        <v>7361345.0368041694</v>
      </c>
      <c r="N22" s="13">
        <f t="shared" si="1"/>
        <v>1586798.0322</v>
      </c>
      <c r="O22" s="13">
        <f t="shared" si="1"/>
        <v>230495.28002969554</v>
      </c>
      <c r="P22" s="25">
        <f>SUM(K22:O22)</f>
        <v>54005230.367875673</v>
      </c>
    </row>
    <row r="23" spans="1:23" x14ac:dyDescent="0.25">
      <c r="A23" s="17">
        <v>2022</v>
      </c>
      <c r="B23" s="17">
        <v>11</v>
      </c>
      <c r="C23" s="17">
        <v>2023</v>
      </c>
      <c r="D23" s="23">
        <f t="shared" ref="D23:H33" si="2">D7</f>
        <v>118986.60466198396</v>
      </c>
      <c r="E23" s="23">
        <f t="shared" si="2"/>
        <v>114357.29771430515</v>
      </c>
      <c r="F23" s="23">
        <f t="shared" si="2"/>
        <v>64017.307156860254</v>
      </c>
      <c r="G23" s="23">
        <f t="shared" si="2"/>
        <v>31215.267</v>
      </c>
      <c r="H23" s="23">
        <f t="shared" si="2"/>
        <v>315.10064648437526</v>
      </c>
      <c r="I23" s="23">
        <f t="shared" ref="I23:I33" si="3">SUM(D23:H23)</f>
        <v>328891.57717963372</v>
      </c>
      <c r="K23" s="13">
        <f t="shared" ref="K23:O33" si="4">K7*(1+K$20)</f>
        <v>24794544.073525775</v>
      </c>
      <c r="L23" s="13">
        <f t="shared" si="4"/>
        <v>20335672.847598769</v>
      </c>
      <c r="M23" s="13">
        <f t="shared" si="4"/>
        <v>7960923.6264640866</v>
      </c>
      <c r="N23" s="13">
        <f t="shared" si="4"/>
        <v>1504575.8694</v>
      </c>
      <c r="O23" s="13">
        <f t="shared" si="4"/>
        <v>230495.28002969554</v>
      </c>
      <c r="P23" s="25">
        <f t="shared" ref="P23:P33" si="5">SUM(K23:O23)</f>
        <v>54826211.697018333</v>
      </c>
    </row>
    <row r="24" spans="1:23" x14ac:dyDescent="0.25">
      <c r="A24" s="17">
        <v>2022</v>
      </c>
      <c r="B24" s="17">
        <v>12</v>
      </c>
      <c r="C24" s="17">
        <v>2023</v>
      </c>
      <c r="D24" s="23">
        <f t="shared" si="2"/>
        <v>150643.76925831079</v>
      </c>
      <c r="E24" s="23">
        <f t="shared" si="2"/>
        <v>124072.52379709606</v>
      </c>
      <c r="F24" s="23">
        <f t="shared" si="2"/>
        <v>74093.340896218229</v>
      </c>
      <c r="G24" s="23">
        <f t="shared" si="2"/>
        <v>31274.154999999999</v>
      </c>
      <c r="H24" s="23">
        <f t="shared" si="2"/>
        <v>315.10064648437526</v>
      </c>
      <c r="I24" s="23">
        <f t="shared" si="3"/>
        <v>380398.88959810947</v>
      </c>
      <c r="K24" s="13">
        <f t="shared" si="4"/>
        <v>30521412.006539486</v>
      </c>
      <c r="L24" s="13">
        <f t="shared" si="4"/>
        <v>21705650.442186523</v>
      </c>
      <c r="M24" s="13">
        <f t="shared" si="4"/>
        <v>9040463.8812320754</v>
      </c>
      <c r="N24" s="13">
        <f t="shared" si="4"/>
        <v>1507414.2709999999</v>
      </c>
      <c r="O24" s="13">
        <f t="shared" si="4"/>
        <v>230495.28002969554</v>
      </c>
      <c r="P24" s="25">
        <f t="shared" si="5"/>
        <v>63005435.880987786</v>
      </c>
    </row>
    <row r="25" spans="1:23" x14ac:dyDescent="0.25">
      <c r="A25" s="17">
        <v>2023</v>
      </c>
      <c r="B25" s="17">
        <v>1</v>
      </c>
      <c r="C25" s="17">
        <v>2023</v>
      </c>
      <c r="D25" s="23">
        <f t="shared" si="2"/>
        <v>155960.23228439258</v>
      </c>
      <c r="E25" s="23">
        <f t="shared" si="2"/>
        <v>128164.99111508028</v>
      </c>
      <c r="F25" s="23">
        <f t="shared" si="2"/>
        <v>70004.114113115036</v>
      </c>
      <c r="G25" s="23">
        <f t="shared" si="2"/>
        <v>31088.531694444446</v>
      </c>
      <c r="H25" s="23">
        <f t="shared" si="2"/>
        <v>315.10064648437509</v>
      </c>
      <c r="I25" s="23">
        <f t="shared" si="3"/>
        <v>385532.96985351667</v>
      </c>
      <c r="K25" s="13">
        <f t="shared" si="4"/>
        <v>31440305.510094225</v>
      </c>
      <c r="L25" s="13">
        <f t="shared" si="4"/>
        <v>22328301.397928655</v>
      </c>
      <c r="M25" s="13">
        <f t="shared" si="4"/>
        <v>8657438.4293841794</v>
      </c>
      <c r="N25" s="13">
        <f t="shared" si="4"/>
        <v>1498467.2276722223</v>
      </c>
      <c r="O25" s="13">
        <f t="shared" si="4"/>
        <v>230495.28002969539</v>
      </c>
      <c r="P25" s="25">
        <f t="shared" si="5"/>
        <v>64155007.845108971</v>
      </c>
    </row>
    <row r="26" spans="1:23" x14ac:dyDescent="0.25">
      <c r="A26" s="17">
        <v>2023</v>
      </c>
      <c r="B26" s="17">
        <v>2</v>
      </c>
      <c r="C26" s="17">
        <v>2023</v>
      </c>
      <c r="D26" s="23">
        <f t="shared" si="2"/>
        <v>140351.01081016022</v>
      </c>
      <c r="E26" s="23">
        <f t="shared" si="2"/>
        <v>116580.91450762008</v>
      </c>
      <c r="F26" s="23">
        <f t="shared" si="2"/>
        <v>63569.441795822764</v>
      </c>
      <c r="G26" s="23">
        <f t="shared" si="2"/>
        <v>28100.98248275862</v>
      </c>
      <c r="H26" s="23">
        <f t="shared" si="2"/>
        <v>315.10064648437509</v>
      </c>
      <c r="I26" s="23">
        <f t="shared" si="3"/>
        <v>348917.45024284604</v>
      </c>
      <c r="K26" s="13">
        <f t="shared" si="4"/>
        <v>28276419.730755515</v>
      </c>
      <c r="L26" s="13">
        <f t="shared" si="4"/>
        <v>20765374.92555172</v>
      </c>
      <c r="M26" s="13">
        <f t="shared" si="4"/>
        <v>8174275.2539504096</v>
      </c>
      <c r="N26" s="13">
        <f t="shared" si="4"/>
        <v>1354467.3556689655</v>
      </c>
      <c r="O26" s="13">
        <f t="shared" si="4"/>
        <v>230495.28002969539</v>
      </c>
      <c r="P26" s="25">
        <f t="shared" si="5"/>
        <v>58801032.545956299</v>
      </c>
    </row>
    <row r="27" spans="1:23" x14ac:dyDescent="0.25">
      <c r="A27" s="17">
        <v>2023</v>
      </c>
      <c r="B27" s="17">
        <v>3</v>
      </c>
      <c r="C27" s="17">
        <v>2023</v>
      </c>
      <c r="D27" s="23">
        <f t="shared" si="2"/>
        <v>132865.24720228428</v>
      </c>
      <c r="E27" s="23">
        <f t="shared" si="2"/>
        <v>116342.34870081235</v>
      </c>
      <c r="F27" s="23">
        <f t="shared" si="2"/>
        <v>62794.250421788776</v>
      </c>
      <c r="G27" s="23">
        <f t="shared" si="2"/>
        <v>31225.432000000001</v>
      </c>
      <c r="H27" s="23">
        <f t="shared" si="2"/>
        <v>315.10064648437509</v>
      </c>
      <c r="I27" s="23">
        <f t="shared" si="3"/>
        <v>343542.37897136976</v>
      </c>
      <c r="K27" s="13">
        <f t="shared" si="4"/>
        <v>27309043.810848743</v>
      </c>
      <c r="L27" s="13">
        <f t="shared" si="4"/>
        <v>20461200.211033702</v>
      </c>
      <c r="M27" s="13">
        <f t="shared" si="4"/>
        <v>7873380.3759342376</v>
      </c>
      <c r="N27" s="13">
        <f t="shared" si="4"/>
        <v>1505065.8224000002</v>
      </c>
      <c r="O27" s="13">
        <f t="shared" si="4"/>
        <v>230495.28002969539</v>
      </c>
      <c r="P27" s="25">
        <f t="shared" si="5"/>
        <v>57379185.500246376</v>
      </c>
    </row>
    <row r="28" spans="1:23" x14ac:dyDescent="0.25">
      <c r="A28" s="17">
        <v>2023</v>
      </c>
      <c r="B28" s="17">
        <v>4</v>
      </c>
      <c r="C28" s="17">
        <v>2023</v>
      </c>
      <c r="D28" s="23">
        <f t="shared" si="2"/>
        <v>105574.03331659286</v>
      </c>
      <c r="E28" s="23">
        <f t="shared" si="2"/>
        <v>108162.82572095809</v>
      </c>
      <c r="F28" s="23">
        <f t="shared" si="2"/>
        <v>59009.906421431966</v>
      </c>
      <c r="G28" s="23">
        <f t="shared" si="2"/>
        <v>30489.974999999999</v>
      </c>
      <c r="H28" s="23">
        <f t="shared" si="2"/>
        <v>315.10064648437509</v>
      </c>
      <c r="I28" s="23">
        <f t="shared" si="3"/>
        <v>303551.84110546723</v>
      </c>
      <c r="K28" s="13">
        <f t="shared" si="4"/>
        <v>22364985.199816473</v>
      </c>
      <c r="L28" s="13">
        <f t="shared" si="4"/>
        <v>19404549.480460554</v>
      </c>
      <c r="M28" s="13">
        <f t="shared" si="4"/>
        <v>7565636.5766177503</v>
      </c>
      <c r="N28" s="13">
        <f t="shared" si="4"/>
        <v>1469616.7949999999</v>
      </c>
      <c r="O28" s="13">
        <f t="shared" si="4"/>
        <v>230495.28002969539</v>
      </c>
      <c r="P28" s="25">
        <f t="shared" si="5"/>
        <v>51035283.331924468</v>
      </c>
    </row>
    <row r="29" spans="1:23" x14ac:dyDescent="0.25">
      <c r="A29" s="17">
        <v>2023</v>
      </c>
      <c r="B29" s="17">
        <v>5</v>
      </c>
      <c r="C29" s="17">
        <v>2023</v>
      </c>
      <c r="D29" s="23">
        <f t="shared" si="2"/>
        <v>96190.371032079929</v>
      </c>
      <c r="E29" s="23">
        <f t="shared" si="2"/>
        <v>113080.53500521147</v>
      </c>
      <c r="F29" s="23">
        <f t="shared" si="2"/>
        <v>62186.91973852837</v>
      </c>
      <c r="G29" s="23">
        <f t="shared" si="2"/>
        <v>33439.942999999999</v>
      </c>
      <c r="H29" s="23">
        <f t="shared" si="2"/>
        <v>315.10064648437509</v>
      </c>
      <c r="I29" s="23">
        <f t="shared" si="3"/>
        <v>305212.86942230415</v>
      </c>
      <c r="K29" s="13">
        <f t="shared" si="4"/>
        <v>20861757.606128566</v>
      </c>
      <c r="L29" s="13">
        <f t="shared" si="4"/>
        <v>20249703.281546764</v>
      </c>
      <c r="M29" s="13">
        <f t="shared" si="4"/>
        <v>7970835.6023018062</v>
      </c>
      <c r="N29" s="13">
        <f t="shared" si="4"/>
        <v>1611805.2526</v>
      </c>
      <c r="O29" s="13">
        <f t="shared" si="4"/>
        <v>230495.28002969539</v>
      </c>
      <c r="P29" s="25">
        <f t="shared" si="5"/>
        <v>50924597.022606827</v>
      </c>
    </row>
    <row r="30" spans="1:23" x14ac:dyDescent="0.25">
      <c r="A30" s="17">
        <v>2023</v>
      </c>
      <c r="B30" s="17">
        <v>6</v>
      </c>
      <c r="C30" s="17">
        <v>2023</v>
      </c>
      <c r="D30" s="23">
        <f t="shared" si="2"/>
        <v>110088.27590179502</v>
      </c>
      <c r="E30" s="23">
        <f t="shared" si="2"/>
        <v>126162.87473797164</v>
      </c>
      <c r="F30" s="23">
        <f t="shared" si="2"/>
        <v>59911.423923298986</v>
      </c>
      <c r="G30" s="23">
        <f t="shared" si="2"/>
        <v>34189.199999999997</v>
      </c>
      <c r="H30" s="23">
        <f t="shared" si="2"/>
        <v>315.10064648437509</v>
      </c>
      <c r="I30" s="23">
        <f t="shared" si="3"/>
        <v>330666.87520955002</v>
      </c>
      <c r="K30" s="13">
        <f t="shared" si="4"/>
        <v>23260178.662823163</v>
      </c>
      <c r="L30" s="13">
        <f t="shared" si="4"/>
        <v>22573731.878020268</v>
      </c>
      <c r="M30" s="13">
        <f t="shared" si="4"/>
        <v>7728401.7520155879</v>
      </c>
      <c r="N30" s="13">
        <f t="shared" si="4"/>
        <v>1647919.44</v>
      </c>
      <c r="O30" s="13">
        <f t="shared" si="4"/>
        <v>230495.28002969539</v>
      </c>
      <c r="P30" s="25">
        <f t="shared" si="5"/>
        <v>55440727.012888707</v>
      </c>
    </row>
    <row r="31" spans="1:23" x14ac:dyDescent="0.25">
      <c r="A31" s="17">
        <v>2023</v>
      </c>
      <c r="B31" s="17">
        <v>7</v>
      </c>
      <c r="C31" s="17">
        <v>2023</v>
      </c>
      <c r="D31" s="23">
        <f t="shared" si="2"/>
        <v>130759.79407130129</v>
      </c>
      <c r="E31" s="23">
        <f t="shared" si="2"/>
        <v>140211.4825131954</v>
      </c>
      <c r="F31" s="23">
        <f t="shared" si="2"/>
        <v>62639.428762332922</v>
      </c>
      <c r="G31" s="23">
        <f t="shared" si="2"/>
        <v>38383.766000000003</v>
      </c>
      <c r="H31" s="23">
        <f t="shared" si="2"/>
        <v>315.10064648437509</v>
      </c>
      <c r="I31" s="23">
        <f t="shared" si="3"/>
        <v>372309.57199331402</v>
      </c>
      <c r="K31" s="13">
        <f t="shared" si="4"/>
        <v>27109086.554172289</v>
      </c>
      <c r="L31" s="13">
        <f t="shared" si="4"/>
        <v>24517272.774801649</v>
      </c>
      <c r="M31" s="13">
        <f t="shared" si="4"/>
        <v>7985710.683062993</v>
      </c>
      <c r="N31" s="13">
        <f t="shared" si="4"/>
        <v>1850097.5212000003</v>
      </c>
      <c r="O31" s="13">
        <f t="shared" si="4"/>
        <v>230495.28002969539</v>
      </c>
      <c r="P31" s="25">
        <f t="shared" si="5"/>
        <v>61692662.81326662</v>
      </c>
    </row>
    <row r="32" spans="1:23" x14ac:dyDescent="0.25">
      <c r="A32" s="17">
        <v>2023</v>
      </c>
      <c r="B32" s="17">
        <v>8</v>
      </c>
      <c r="C32" s="17">
        <v>2023</v>
      </c>
      <c r="D32" s="23">
        <f t="shared" si="2"/>
        <v>125647.7769588917</v>
      </c>
      <c r="E32" s="23">
        <f t="shared" si="2"/>
        <v>137607.72765418471</v>
      </c>
      <c r="F32" s="23">
        <f t="shared" si="2"/>
        <v>64499.506077610327</v>
      </c>
      <c r="G32" s="23">
        <f t="shared" si="2"/>
        <v>36666.402000000002</v>
      </c>
      <c r="H32" s="23">
        <f t="shared" si="2"/>
        <v>315.10064648437509</v>
      </c>
      <c r="I32" s="23">
        <f t="shared" si="3"/>
        <v>364736.51333717105</v>
      </c>
      <c r="K32" s="13">
        <f t="shared" si="4"/>
        <v>26199028.215696711</v>
      </c>
      <c r="L32" s="13">
        <f t="shared" si="4"/>
        <v>24104516.835418798</v>
      </c>
      <c r="M32" s="13">
        <f t="shared" si="4"/>
        <v>8247932.5569691043</v>
      </c>
      <c r="N32" s="13">
        <f t="shared" si="4"/>
        <v>1767320.5764000001</v>
      </c>
      <c r="O32" s="13">
        <f t="shared" si="4"/>
        <v>230495.28002969539</v>
      </c>
      <c r="P32" s="25">
        <f t="shared" si="5"/>
        <v>60549293.464514308</v>
      </c>
    </row>
    <row r="33" spans="1:16" x14ac:dyDescent="0.25">
      <c r="A33" s="17">
        <v>2023</v>
      </c>
      <c r="B33" s="17">
        <v>9</v>
      </c>
      <c r="C33" s="17">
        <v>2023</v>
      </c>
      <c r="D33" s="23">
        <f t="shared" si="2"/>
        <v>106224.18544957269</v>
      </c>
      <c r="E33" s="23">
        <f t="shared" si="2"/>
        <v>120690.35709515643</v>
      </c>
      <c r="F33" s="23">
        <f t="shared" si="2"/>
        <v>62298.825266535139</v>
      </c>
      <c r="G33" s="23">
        <f t="shared" si="2"/>
        <v>33320.455000000002</v>
      </c>
      <c r="H33" s="23">
        <f t="shared" si="2"/>
        <v>315.10064648437503</v>
      </c>
      <c r="I33" s="23">
        <f t="shared" si="3"/>
        <v>322848.92345774866</v>
      </c>
      <c r="K33" s="13">
        <f t="shared" si="4"/>
        <v>22584580.2273352</v>
      </c>
      <c r="L33" s="13">
        <f t="shared" si="4"/>
        <v>21580973.499605712</v>
      </c>
      <c r="M33" s="13">
        <f t="shared" si="4"/>
        <v>8009020.7416262543</v>
      </c>
      <c r="N33" s="13">
        <f t="shared" si="4"/>
        <v>1606045.9310000001</v>
      </c>
      <c r="O33" s="13">
        <f t="shared" si="4"/>
        <v>230495.28002969536</v>
      </c>
      <c r="P33" s="25">
        <f t="shared" si="5"/>
        <v>54011115.679596864</v>
      </c>
    </row>
    <row r="35" spans="1:16" x14ac:dyDescent="0.25">
      <c r="A35" t="s">
        <v>5</v>
      </c>
      <c r="K35" s="24">
        <f>SUM(K22:K33)</f>
        <v>308577610.80097967</v>
      </c>
      <c r="L35" s="24">
        <f t="shared" ref="L35:P35" si="6">SUM(L22:L33)</f>
        <v>258997270.38975134</v>
      </c>
      <c r="M35" s="24">
        <f t="shared" si="6"/>
        <v>96575364.516362652</v>
      </c>
      <c r="N35" s="24">
        <f t="shared" si="6"/>
        <v>18909594.094541188</v>
      </c>
      <c r="O35" s="24">
        <f t="shared" si="6"/>
        <v>2765943.3603563458</v>
      </c>
      <c r="P35" s="24">
        <f t="shared" si="6"/>
        <v>685825783.16199124</v>
      </c>
    </row>
  </sheetData>
  <mergeCells count="3">
    <mergeCell ref="D2:I2"/>
    <mergeCell ref="K2:P2"/>
    <mergeCell ref="R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F484E-EFC8-43AE-BED9-5FDCA233366A}">
  <dimension ref="N2:Q23"/>
  <sheetViews>
    <sheetView topLeftCell="A202" workbookViewId="0"/>
  </sheetViews>
  <sheetFormatPr defaultRowHeight="15" x14ac:dyDescent="0.25"/>
  <cols>
    <col min="14" max="14" width="25.42578125" customWidth="1"/>
    <col min="15" max="15" width="3" customWidth="1"/>
    <col min="16" max="16" width="16.28515625" bestFit="1" customWidth="1"/>
  </cols>
  <sheetData>
    <row r="2" spans="14:17" x14ac:dyDescent="0.25">
      <c r="P2" s="93">
        <v>2021</v>
      </c>
      <c r="Q2" s="93" t="s">
        <v>30</v>
      </c>
    </row>
    <row r="3" spans="14:17" x14ac:dyDescent="0.25">
      <c r="P3" s="93" t="s">
        <v>56</v>
      </c>
      <c r="Q3" s="93" t="s">
        <v>32</v>
      </c>
    </row>
    <row r="4" spans="14:17" x14ac:dyDescent="0.25">
      <c r="P4" s="94" t="s">
        <v>49</v>
      </c>
      <c r="Q4" s="94" t="s">
        <v>49</v>
      </c>
    </row>
    <row r="6" spans="14:17" x14ac:dyDescent="0.25">
      <c r="N6" t="s">
        <v>57</v>
      </c>
      <c r="P6" s="13">
        <v>244704</v>
      </c>
      <c r="Q6" s="83">
        <f>P6/P7</f>
        <v>7.9932078377534298E-4</v>
      </c>
    </row>
    <row r="7" spans="14:17" x14ac:dyDescent="0.25">
      <c r="N7" t="s">
        <v>58</v>
      </c>
      <c r="P7" s="13">
        <v>306139919</v>
      </c>
    </row>
    <row r="8" spans="14:17" x14ac:dyDescent="0.25">
      <c r="P8" s="13"/>
    </row>
    <row r="9" spans="14:17" x14ac:dyDescent="0.25">
      <c r="P9" s="13"/>
    </row>
    <row r="10" spans="14:17" x14ac:dyDescent="0.25">
      <c r="N10" t="s">
        <v>59</v>
      </c>
      <c r="P10" s="13">
        <v>1609238</v>
      </c>
      <c r="Q10" s="83">
        <f>P10/P11</f>
        <v>6.7462503061355306E-3</v>
      </c>
    </row>
    <row r="11" spans="14:17" x14ac:dyDescent="0.25">
      <c r="N11" t="s">
        <v>60</v>
      </c>
      <c r="P11" s="13">
        <v>238538140</v>
      </c>
    </row>
    <row r="12" spans="14:17" x14ac:dyDescent="0.25">
      <c r="P12" s="13"/>
    </row>
    <row r="13" spans="14:17" x14ac:dyDescent="0.25">
      <c r="P13" s="13"/>
    </row>
    <row r="14" spans="14:17" x14ac:dyDescent="0.25">
      <c r="N14" t="s">
        <v>61</v>
      </c>
      <c r="P14" s="13">
        <v>5309</v>
      </c>
      <c r="Q14" s="83">
        <f>P14/P15</f>
        <v>6.0366629772789966E-5</v>
      </c>
    </row>
    <row r="15" spans="14:17" x14ac:dyDescent="0.25">
      <c r="N15" t="s">
        <v>62</v>
      </c>
      <c r="P15" s="13">
        <v>87945940</v>
      </c>
    </row>
    <row r="18" spans="14:17" x14ac:dyDescent="0.25">
      <c r="N18" t="s">
        <v>63</v>
      </c>
      <c r="P18" s="13">
        <v>0</v>
      </c>
      <c r="Q18" s="83">
        <f>P18/P19</f>
        <v>0</v>
      </c>
    </row>
    <row r="19" spans="14:17" x14ac:dyDescent="0.25">
      <c r="N19" t="s">
        <v>64</v>
      </c>
      <c r="P19" s="13">
        <v>34816991</v>
      </c>
    </row>
    <row r="22" spans="14:17" x14ac:dyDescent="0.25">
      <c r="N22" t="s">
        <v>65</v>
      </c>
      <c r="P22" s="13">
        <v>2664159</v>
      </c>
      <c r="Q22" s="83">
        <f>P22/P23</f>
        <v>1</v>
      </c>
    </row>
    <row r="23" spans="14:17" x14ac:dyDescent="0.25">
      <c r="N23" t="s">
        <v>66</v>
      </c>
      <c r="P23" s="13">
        <v>2664159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Line Item Calculation</vt:lpstr>
      <vt:lpstr>Monthly</vt:lpstr>
      <vt:lpstr>FY23 Retail revenue forecast</vt:lpstr>
      <vt:lpstr>2021 actuals</vt:lpstr>
      <vt:lpstr>'Line Item Calculation'!Print_Area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2022-05-02T18:06:22Z</dcterms:created>
  <dcterms:modified xsi:type="dcterms:W3CDTF">2022-05-02T18:38:38Z</dcterms:modified>
</cp:coreProperties>
</file>