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230"/>
  <workbookPr showInkAnnotation="0" autoCompressPictures="0"/>
  <mc:AlternateContent xmlns:mc="http://schemas.openxmlformats.org/markup-compatibility/2006">
    <mc:Choice Requires="x15">
      <x15ac:absPath xmlns:x15ac="http://schemas.microsoft.com/office/spreadsheetml/2010/11/ac" url="/Volumes/departments/Marketing/web/Website Documents/"/>
    </mc:Choice>
  </mc:AlternateContent>
  <bookViews>
    <workbookView xWindow="0" yWindow="460" windowWidth="28800" windowHeight="16220" tabRatio="500"/>
  </bookViews>
  <sheets>
    <sheet name=" Recommended Portfolio" sheetId="6" r:id="rId1"/>
    <sheet name="Output Summary" sheetId="1" r:id="rId2"/>
    <sheet name="Scoring Inputs" sheetId="3" r:id="rId3"/>
    <sheet name="Cost &amp; Benefit Inputs" sheetId="2" r:id="rId4"/>
    <sheet name="GMP Summary of Participants" sheetId="4" state="hidden" r:id="rId5"/>
    <sheet name="Bruce Bentley's Inputs" sheetId="5" state="hidden" r:id="rId6"/>
  </sheets>
  <definedNames>
    <definedName name="MAX_Points">'Output Summary'!$B$3</definedName>
    <definedName name="NSB_Points">'Output Summary'!$B$3</definedName>
    <definedName name="RANK_TABLE">'Output Summary'!$I$3:$U$6</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Y12" i="1" l="1"/>
  <c r="Y13" i="1"/>
  <c r="B17" i="3"/>
  <c r="B22" i="6"/>
  <c r="B13" i="3"/>
  <c r="B18" i="6"/>
  <c r="B12" i="3"/>
  <c r="B17" i="6"/>
  <c r="B11" i="3"/>
  <c r="B16" i="6"/>
  <c r="B10" i="3"/>
  <c r="B15" i="6"/>
  <c r="B9" i="3"/>
  <c r="B14" i="6"/>
  <c r="B14" i="1"/>
  <c r="Q11" i="2"/>
  <c r="B22" i="3"/>
  <c r="B27" i="1"/>
  <c r="B23" i="3"/>
  <c r="B28" i="1"/>
  <c r="Q21" i="2"/>
  <c r="Q20" i="2"/>
  <c r="Q19" i="2"/>
  <c r="Q17" i="2"/>
  <c r="Q16" i="2"/>
  <c r="Q15" i="2"/>
  <c r="Q14" i="2"/>
  <c r="Q13" i="2"/>
  <c r="Q12" i="2"/>
  <c r="C8" i="3"/>
  <c r="L13" i="1"/>
  <c r="L14" i="1"/>
  <c r="L15" i="1"/>
  <c r="L16" i="1"/>
  <c r="L17" i="1"/>
  <c r="L18" i="1"/>
  <c r="L19" i="1"/>
  <c r="L20" i="1"/>
  <c r="L21" i="1"/>
  <c r="L22" i="1"/>
  <c r="L23" i="1"/>
  <c r="L24" i="1"/>
  <c r="L9" i="1"/>
  <c r="L25" i="1"/>
  <c r="L26" i="1"/>
  <c r="L27" i="1"/>
  <c r="L28" i="1"/>
  <c r="L29" i="1"/>
  <c r="L30" i="1"/>
  <c r="L31" i="1"/>
  <c r="L32" i="1"/>
  <c r="L33" i="1"/>
  <c r="L34" i="1"/>
  <c r="L35" i="1"/>
  <c r="L36" i="1"/>
  <c r="L37" i="1"/>
  <c r="L38" i="1"/>
  <c r="L39" i="1"/>
  <c r="L40" i="1"/>
  <c r="L41" i="1"/>
  <c r="L42" i="1"/>
  <c r="L12" i="1"/>
  <c r="H7" i="3"/>
  <c r="H6" i="3"/>
  <c r="G6"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F7" i="3"/>
  <c r="M9" i="1"/>
  <c r="M12" i="1"/>
  <c r="B40" i="3"/>
  <c r="C40"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F6" i="3"/>
  <c r="L11" i="1"/>
  <c r="AF9" i="2"/>
  <c r="Q27" i="6"/>
  <c r="Q28" i="6"/>
  <c r="Q26" i="6"/>
  <c r="D26" i="6"/>
  <c r="Q25" i="6"/>
  <c r="D25" i="6"/>
  <c r="Q24" i="6"/>
  <c r="D24" i="6"/>
  <c r="Q23" i="6"/>
  <c r="D23" i="6"/>
  <c r="Q22" i="6"/>
  <c r="D22" i="6"/>
  <c r="Q21" i="6"/>
  <c r="D21" i="6"/>
  <c r="Q20" i="6"/>
  <c r="D20" i="6"/>
  <c r="Q19" i="6"/>
  <c r="D19" i="6"/>
  <c r="Q18" i="6"/>
  <c r="D18" i="6"/>
  <c r="Q17" i="6"/>
  <c r="D17" i="6"/>
  <c r="Q16" i="6"/>
  <c r="D16" i="6"/>
  <c r="Q15" i="6"/>
  <c r="D15" i="6"/>
  <c r="Q14" i="6"/>
  <c r="D14" i="6"/>
  <c r="Q13" i="6"/>
  <c r="D13" i="6"/>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8" i="2"/>
  <c r="BD42" i="1"/>
  <c r="BC42" i="1"/>
  <c r="BB42" i="1"/>
  <c r="BA42" i="1"/>
  <c r="AZ42" i="1"/>
  <c r="BD41" i="1"/>
  <c r="BC41" i="1"/>
  <c r="BB41" i="1"/>
  <c r="BA41" i="1"/>
  <c r="AZ41" i="1"/>
  <c r="BD40" i="1"/>
  <c r="BC40" i="1"/>
  <c r="BB40" i="1"/>
  <c r="BA40" i="1"/>
  <c r="AZ40" i="1"/>
  <c r="BD39" i="1"/>
  <c r="BC39" i="1"/>
  <c r="BB39" i="1"/>
  <c r="BA39" i="1"/>
  <c r="AZ39" i="1"/>
  <c r="BD38" i="1"/>
  <c r="BC38" i="1"/>
  <c r="BB38" i="1"/>
  <c r="BA38" i="1"/>
  <c r="AZ38" i="1"/>
  <c r="BD37" i="1"/>
  <c r="BC37" i="1"/>
  <c r="BB37" i="1"/>
  <c r="BA37" i="1"/>
  <c r="AZ37" i="1"/>
  <c r="BD36" i="1"/>
  <c r="BC36" i="1"/>
  <c r="BB36" i="1"/>
  <c r="BA36" i="1"/>
  <c r="AZ36" i="1"/>
  <c r="BD35" i="1"/>
  <c r="BC35" i="1"/>
  <c r="BB35" i="1"/>
  <c r="BA35" i="1"/>
  <c r="AZ35" i="1"/>
  <c r="BD34" i="1"/>
  <c r="BC34" i="1"/>
  <c r="BB34" i="1"/>
  <c r="BA34" i="1"/>
  <c r="AZ34" i="1"/>
  <c r="BD33" i="1"/>
  <c r="BC33" i="1"/>
  <c r="BB33" i="1"/>
  <c r="BA33" i="1"/>
  <c r="AZ33" i="1"/>
  <c r="BD32" i="1"/>
  <c r="BC32" i="1"/>
  <c r="BB32" i="1"/>
  <c r="BA32" i="1"/>
  <c r="AZ32" i="1"/>
  <c r="BD31" i="1"/>
  <c r="BC31" i="1"/>
  <c r="BB31" i="1"/>
  <c r="BA31" i="1"/>
  <c r="AZ31" i="1"/>
  <c r="BD30" i="1"/>
  <c r="BC30" i="1"/>
  <c r="BB30" i="1"/>
  <c r="BA30" i="1"/>
  <c r="AZ30" i="1"/>
  <c r="BD29" i="1"/>
  <c r="BC29" i="1"/>
  <c r="BB29" i="1"/>
  <c r="BA29" i="1"/>
  <c r="AZ29" i="1"/>
  <c r="BD28" i="1"/>
  <c r="BC28" i="1"/>
  <c r="BB28" i="1"/>
  <c r="BA28" i="1"/>
  <c r="AZ28" i="1"/>
  <c r="BD27" i="1"/>
  <c r="BC27" i="1"/>
  <c r="BB27" i="1"/>
  <c r="BA27" i="1"/>
  <c r="AZ27" i="1"/>
  <c r="BD26" i="1"/>
  <c r="BC26" i="1"/>
  <c r="BB26" i="1"/>
  <c r="BA26" i="1"/>
  <c r="AZ26" i="1"/>
  <c r="AI22" i="2"/>
  <c r="AJ22" i="2"/>
  <c r="AK22" i="2"/>
  <c r="AM22" i="2"/>
  <c r="BD25" i="1"/>
  <c r="AL22" i="2"/>
  <c r="BC25" i="1"/>
  <c r="BB25" i="1"/>
  <c r="BA25" i="1"/>
  <c r="AZ25" i="1"/>
  <c r="BD24" i="1"/>
  <c r="BC24" i="1"/>
  <c r="BB24" i="1"/>
  <c r="BA24" i="1"/>
  <c r="AZ24" i="1"/>
  <c r="BD23" i="1"/>
  <c r="BC23" i="1"/>
  <c r="BB23" i="1"/>
  <c r="BA23" i="1"/>
  <c r="AZ23" i="1"/>
  <c r="BD22" i="1"/>
  <c r="BC22" i="1"/>
  <c r="BB22" i="1"/>
  <c r="BA22" i="1"/>
  <c r="AZ22" i="1"/>
  <c r="AI18" i="2"/>
  <c r="AJ18" i="2"/>
  <c r="AK18" i="2"/>
  <c r="AM18" i="2"/>
  <c r="BD21" i="1"/>
  <c r="AL18" i="2"/>
  <c r="BC21" i="1"/>
  <c r="BB21" i="1"/>
  <c r="BA21" i="1"/>
  <c r="AZ21" i="1"/>
  <c r="BD20" i="1"/>
  <c r="BC20" i="1"/>
  <c r="BB20" i="1"/>
  <c r="BA20" i="1"/>
  <c r="AZ20" i="1"/>
  <c r="BD19" i="1"/>
  <c r="BC19" i="1"/>
  <c r="BB19" i="1"/>
  <c r="BA19" i="1"/>
  <c r="AZ19" i="1"/>
  <c r="AI15" i="2"/>
  <c r="AJ15" i="2"/>
  <c r="AK15" i="2"/>
  <c r="AM15" i="2"/>
  <c r="BD18" i="1"/>
  <c r="AL15" i="2"/>
  <c r="BC18" i="1"/>
  <c r="BB18" i="1"/>
  <c r="BA18" i="1"/>
  <c r="AZ18" i="1"/>
  <c r="BD17" i="1"/>
  <c r="BC17" i="1"/>
  <c r="BB17" i="1"/>
  <c r="BA17" i="1"/>
  <c r="AZ17" i="1"/>
  <c r="BD16" i="1"/>
  <c r="BC16" i="1"/>
  <c r="BB16" i="1"/>
  <c r="BA16" i="1"/>
  <c r="AZ16" i="1"/>
  <c r="BD15" i="1"/>
  <c r="BC15" i="1"/>
  <c r="BB15" i="1"/>
  <c r="BA15" i="1"/>
  <c r="AZ15" i="1"/>
  <c r="BD14" i="1"/>
  <c r="BC14" i="1"/>
  <c r="BB14" i="1"/>
  <c r="BA14" i="1"/>
  <c r="AZ14" i="1"/>
  <c r="AI10" i="2"/>
  <c r="AJ10" i="2"/>
  <c r="AK10" i="2"/>
  <c r="AM10" i="2"/>
  <c r="BD13" i="1"/>
  <c r="AL10" i="2"/>
  <c r="BC13" i="1"/>
  <c r="BB13" i="1"/>
  <c r="BA13" i="1"/>
  <c r="AZ13" i="1"/>
  <c r="AI9" i="2"/>
  <c r="AJ9" i="2"/>
  <c r="AK9" i="2"/>
  <c r="AM9" i="2"/>
  <c r="BD12" i="1"/>
  <c r="AL9" i="2"/>
  <c r="BC12" i="1"/>
  <c r="BB12" i="1"/>
  <c r="BA12" i="1"/>
  <c r="AZ12" i="1"/>
  <c r="BC11" i="1"/>
  <c r="BB11" i="1"/>
  <c r="BA11" i="1"/>
  <c r="AZ11" i="1"/>
  <c r="AX42" i="1"/>
  <c r="AW42" i="1"/>
  <c r="AV42" i="1"/>
  <c r="AT42" i="1"/>
  <c r="AS42" i="1"/>
  <c r="AX41" i="1"/>
  <c r="AW41" i="1"/>
  <c r="AV41" i="1"/>
  <c r="AT41" i="1"/>
  <c r="AS41" i="1"/>
  <c r="AX40" i="1"/>
  <c r="AW40" i="1"/>
  <c r="AV40" i="1"/>
  <c r="AT40" i="1"/>
  <c r="AS40" i="1"/>
  <c r="AX39" i="1"/>
  <c r="AW39" i="1"/>
  <c r="AV39" i="1"/>
  <c r="AT39" i="1"/>
  <c r="AS39" i="1"/>
  <c r="AX38" i="1"/>
  <c r="AW38" i="1"/>
  <c r="AV38" i="1"/>
  <c r="AT38" i="1"/>
  <c r="AS38" i="1"/>
  <c r="AX37" i="1"/>
  <c r="AW37" i="1"/>
  <c r="AV37" i="1"/>
  <c r="AT37" i="1"/>
  <c r="AS37" i="1"/>
  <c r="AX36" i="1"/>
  <c r="AW36" i="1"/>
  <c r="AV36" i="1"/>
  <c r="AT36" i="1"/>
  <c r="AS36" i="1"/>
  <c r="AX35" i="1"/>
  <c r="AW35" i="1"/>
  <c r="AV35" i="1"/>
  <c r="AT35" i="1"/>
  <c r="AS35" i="1"/>
  <c r="AX34" i="1"/>
  <c r="AW34" i="1"/>
  <c r="AV34" i="1"/>
  <c r="AT34" i="1"/>
  <c r="AS34" i="1"/>
  <c r="AX33" i="1"/>
  <c r="AW33" i="1"/>
  <c r="AV33" i="1"/>
  <c r="AT33" i="1"/>
  <c r="AS33" i="1"/>
  <c r="AX32" i="1"/>
  <c r="AW32" i="1"/>
  <c r="AV32" i="1"/>
  <c r="AT32" i="1"/>
  <c r="AS32" i="1"/>
  <c r="AX31" i="1"/>
  <c r="AW31" i="1"/>
  <c r="AV31" i="1"/>
  <c r="AT31" i="1"/>
  <c r="AS31" i="1"/>
  <c r="AX30" i="1"/>
  <c r="AW30" i="1"/>
  <c r="AV30" i="1"/>
  <c r="AT30" i="1"/>
  <c r="AS30" i="1"/>
  <c r="AX29" i="1"/>
  <c r="AW29" i="1"/>
  <c r="AV29" i="1"/>
  <c r="AT29" i="1"/>
  <c r="AS29" i="1"/>
  <c r="AX28" i="1"/>
  <c r="AW28" i="1"/>
  <c r="AV28" i="1"/>
  <c r="AT28" i="1"/>
  <c r="AS28" i="1"/>
  <c r="AX27" i="1"/>
  <c r="AW27" i="1"/>
  <c r="AV27" i="1"/>
  <c r="AT27" i="1"/>
  <c r="AS27" i="1"/>
  <c r="AX26" i="1"/>
  <c r="AW26" i="1"/>
  <c r="AV26" i="1"/>
  <c r="AT26" i="1"/>
  <c r="AS26" i="1"/>
  <c r="AX25" i="1"/>
  <c r="AF22" i="2"/>
  <c r="AW25" i="1"/>
  <c r="AE22" i="2"/>
  <c r="AV25" i="1"/>
  <c r="AB22" i="2"/>
  <c r="AC22" i="2"/>
  <c r="AT25" i="1"/>
  <c r="AS25" i="1"/>
  <c r="AX24" i="1"/>
  <c r="AW24" i="1"/>
  <c r="AV24" i="1"/>
  <c r="AT24" i="1"/>
  <c r="AS24" i="1"/>
  <c r="AX23" i="1"/>
  <c r="AW23" i="1"/>
  <c r="AV23" i="1"/>
  <c r="AT23" i="1"/>
  <c r="AS23" i="1"/>
  <c r="AX22" i="1"/>
  <c r="AW22" i="1"/>
  <c r="AV22" i="1"/>
  <c r="AT22" i="1"/>
  <c r="AS22" i="1"/>
  <c r="AX21" i="1"/>
  <c r="AW21" i="1"/>
  <c r="AE18" i="2"/>
  <c r="AV21" i="1"/>
  <c r="AB18" i="2"/>
  <c r="AC18" i="2"/>
  <c r="AT21" i="1"/>
  <c r="AS21" i="1"/>
  <c r="AX20" i="1"/>
  <c r="AW20" i="1"/>
  <c r="AV20" i="1"/>
  <c r="AT20" i="1"/>
  <c r="AS20" i="1"/>
  <c r="AX19" i="1"/>
  <c r="AW19" i="1"/>
  <c r="AV19" i="1"/>
  <c r="AT19" i="1"/>
  <c r="AS19" i="1"/>
  <c r="AX18" i="1"/>
  <c r="AW18" i="1"/>
  <c r="AE15" i="2"/>
  <c r="AV18" i="1"/>
  <c r="AC15" i="2"/>
  <c r="AT18" i="1"/>
  <c r="AS18" i="1"/>
  <c r="AX17" i="1"/>
  <c r="AW17" i="1"/>
  <c r="AV17" i="1"/>
  <c r="AT17" i="1"/>
  <c r="AS17" i="1"/>
  <c r="AX16" i="1"/>
  <c r="AW16" i="1"/>
  <c r="AV16" i="1"/>
  <c r="AT16" i="1"/>
  <c r="AS16" i="1"/>
  <c r="AX15" i="1"/>
  <c r="AW15" i="1"/>
  <c r="AV15" i="1"/>
  <c r="AT15" i="1"/>
  <c r="AS15" i="1"/>
  <c r="AX14" i="1"/>
  <c r="AW14" i="1"/>
  <c r="AV14" i="1"/>
  <c r="AT14" i="1"/>
  <c r="AS14" i="1"/>
  <c r="AX13" i="1"/>
  <c r="AW13" i="1"/>
  <c r="AE10" i="2"/>
  <c r="AV13" i="1"/>
  <c r="AC10" i="2"/>
  <c r="AT13" i="1"/>
  <c r="AS13" i="1"/>
  <c r="AG9" i="2"/>
  <c r="AX12" i="1"/>
  <c r="AW12" i="1"/>
  <c r="AE9" i="2"/>
  <c r="AV12" i="1"/>
  <c r="AC9" i="2"/>
  <c r="AT12" i="1"/>
  <c r="AS12" i="1"/>
  <c r="AX11" i="1"/>
  <c r="AW11" i="1"/>
  <c r="AV11" i="1"/>
  <c r="AT11" i="1"/>
  <c r="AS11" i="1"/>
  <c r="BD11" i="1"/>
  <c r="AJ42" i="1"/>
  <c r="AI42" i="1"/>
  <c r="AH42" i="1"/>
  <c r="AG42" i="1"/>
  <c r="AF42" i="1"/>
  <c r="AE42" i="1"/>
  <c r="AD42" i="1"/>
  <c r="AC42" i="1"/>
  <c r="AJ41" i="1"/>
  <c r="AI41" i="1"/>
  <c r="AH41" i="1"/>
  <c r="AG41" i="1"/>
  <c r="AF41" i="1"/>
  <c r="AE41" i="1"/>
  <c r="AD41" i="1"/>
  <c r="AC41" i="1"/>
  <c r="AJ40" i="1"/>
  <c r="AI40" i="1"/>
  <c r="AH40" i="1"/>
  <c r="AG40" i="1"/>
  <c r="AF40" i="1"/>
  <c r="AE40" i="1"/>
  <c r="AD40" i="1"/>
  <c r="AC40" i="1"/>
  <c r="AJ39" i="1"/>
  <c r="AI39" i="1"/>
  <c r="AH39" i="1"/>
  <c r="AG39" i="1"/>
  <c r="AF39" i="1"/>
  <c r="AE39" i="1"/>
  <c r="AD39" i="1"/>
  <c r="AC39" i="1"/>
  <c r="AJ38" i="1"/>
  <c r="AI38" i="1"/>
  <c r="AH38" i="1"/>
  <c r="AG38" i="1"/>
  <c r="AF38" i="1"/>
  <c r="AE38" i="1"/>
  <c r="AD38" i="1"/>
  <c r="AC38" i="1"/>
  <c r="AJ37" i="1"/>
  <c r="AI37" i="1"/>
  <c r="AH37" i="1"/>
  <c r="AG37" i="1"/>
  <c r="AF37" i="1"/>
  <c r="AE37" i="1"/>
  <c r="AD37" i="1"/>
  <c r="AC37" i="1"/>
  <c r="AJ36" i="1"/>
  <c r="AI36" i="1"/>
  <c r="AH36" i="1"/>
  <c r="AG36" i="1"/>
  <c r="AF36" i="1"/>
  <c r="AE36" i="1"/>
  <c r="AD36" i="1"/>
  <c r="AC36" i="1"/>
  <c r="AJ35" i="1"/>
  <c r="AI35" i="1"/>
  <c r="AH35" i="1"/>
  <c r="AG35" i="1"/>
  <c r="AF35" i="1"/>
  <c r="AE35" i="1"/>
  <c r="AD35" i="1"/>
  <c r="AC35" i="1"/>
  <c r="AJ34" i="1"/>
  <c r="AI34" i="1"/>
  <c r="AH34" i="1"/>
  <c r="AG34" i="1"/>
  <c r="AF34" i="1"/>
  <c r="AE34" i="1"/>
  <c r="AD34" i="1"/>
  <c r="AC34" i="1"/>
  <c r="AJ33" i="1"/>
  <c r="AI33" i="1"/>
  <c r="AH33" i="1"/>
  <c r="AG33" i="1"/>
  <c r="AF33" i="1"/>
  <c r="AE33" i="1"/>
  <c r="AD33" i="1"/>
  <c r="AC33" i="1"/>
  <c r="AJ32" i="1"/>
  <c r="AI32" i="1"/>
  <c r="AH32" i="1"/>
  <c r="AG32" i="1"/>
  <c r="AF32" i="1"/>
  <c r="AE32" i="1"/>
  <c r="AD32" i="1"/>
  <c r="AC32" i="1"/>
  <c r="AJ31" i="1"/>
  <c r="AI31" i="1"/>
  <c r="AH31" i="1"/>
  <c r="AG31" i="1"/>
  <c r="AF31" i="1"/>
  <c r="AE31" i="1"/>
  <c r="AD31" i="1"/>
  <c r="AC31" i="1"/>
  <c r="AJ30" i="1"/>
  <c r="AI30" i="1"/>
  <c r="AH30" i="1"/>
  <c r="AG30" i="1"/>
  <c r="AF30" i="1"/>
  <c r="AE30" i="1"/>
  <c r="AD30" i="1"/>
  <c r="AC30" i="1"/>
  <c r="AJ29" i="1"/>
  <c r="AI29" i="1"/>
  <c r="AH29" i="1"/>
  <c r="AG29" i="1"/>
  <c r="AF29" i="1"/>
  <c r="AE29" i="1"/>
  <c r="AD29" i="1"/>
  <c r="AC29" i="1"/>
  <c r="AJ28" i="1"/>
  <c r="AI28" i="1"/>
  <c r="AH28" i="1"/>
  <c r="AG28" i="1"/>
  <c r="AF28" i="1"/>
  <c r="AE28" i="1"/>
  <c r="AD28" i="1"/>
  <c r="AC28" i="1"/>
  <c r="AJ27" i="1"/>
  <c r="AI27" i="1"/>
  <c r="AH27" i="1"/>
  <c r="AG27" i="1"/>
  <c r="AF27" i="1"/>
  <c r="AE27" i="1"/>
  <c r="AD27" i="1"/>
  <c r="AC27" i="1"/>
  <c r="AJ26" i="1"/>
  <c r="AI26" i="1"/>
  <c r="AH26" i="1"/>
  <c r="AG26" i="1"/>
  <c r="AF26" i="1"/>
  <c r="AE26" i="1"/>
  <c r="AD26" i="1"/>
  <c r="AC26" i="1"/>
  <c r="AJ25" i="1"/>
  <c r="AI25" i="1"/>
  <c r="AH25" i="1"/>
  <c r="AG25" i="1"/>
  <c r="AF25" i="1"/>
  <c r="AE25" i="1"/>
  <c r="AD25" i="1"/>
  <c r="AC25" i="1"/>
  <c r="AJ24" i="1"/>
  <c r="AI24" i="1"/>
  <c r="AH24" i="1"/>
  <c r="AG24" i="1"/>
  <c r="AF24" i="1"/>
  <c r="AE24" i="1"/>
  <c r="AD24" i="1"/>
  <c r="AC24" i="1"/>
  <c r="AJ23" i="1"/>
  <c r="AI23" i="1"/>
  <c r="AH23" i="1"/>
  <c r="AG23" i="1"/>
  <c r="AF23" i="1"/>
  <c r="AE23" i="1"/>
  <c r="AD23" i="1"/>
  <c r="AC23" i="1"/>
  <c r="AJ22" i="1"/>
  <c r="AI22" i="1"/>
  <c r="AH22" i="1"/>
  <c r="AG22" i="1"/>
  <c r="AF22" i="1"/>
  <c r="AE22" i="1"/>
  <c r="AD22" i="1"/>
  <c r="AC22" i="1"/>
  <c r="AJ21" i="1"/>
  <c r="AI21" i="1"/>
  <c r="AH21" i="1"/>
  <c r="AG21" i="1"/>
  <c r="AF21" i="1"/>
  <c r="AE21" i="1"/>
  <c r="AD21" i="1"/>
  <c r="AC21" i="1"/>
  <c r="AJ20" i="1"/>
  <c r="AI20" i="1"/>
  <c r="AH20" i="1"/>
  <c r="AG20" i="1"/>
  <c r="AF20" i="1"/>
  <c r="AE20" i="1"/>
  <c r="AD20" i="1"/>
  <c r="AC20" i="1"/>
  <c r="AJ19" i="1"/>
  <c r="AI19" i="1"/>
  <c r="AH19" i="1"/>
  <c r="AG19" i="1"/>
  <c r="AF19" i="1"/>
  <c r="AE19" i="1"/>
  <c r="AD19" i="1"/>
  <c r="AC19" i="1"/>
  <c r="AJ18" i="1"/>
  <c r="AI18" i="1"/>
  <c r="AH18" i="1"/>
  <c r="AG18" i="1"/>
  <c r="AF18" i="1"/>
  <c r="AE18" i="1"/>
  <c r="AD18" i="1"/>
  <c r="AC18" i="1"/>
  <c r="AJ17" i="1"/>
  <c r="AI17" i="1"/>
  <c r="AH17" i="1"/>
  <c r="AG17" i="1"/>
  <c r="AF17" i="1"/>
  <c r="AE17" i="1"/>
  <c r="AD17" i="1"/>
  <c r="AC17" i="1"/>
  <c r="AJ16" i="1"/>
  <c r="AI16" i="1"/>
  <c r="AH16" i="1"/>
  <c r="AG16" i="1"/>
  <c r="AF16" i="1"/>
  <c r="AE16" i="1"/>
  <c r="AD16" i="1"/>
  <c r="AC16" i="1"/>
  <c r="AJ15" i="1"/>
  <c r="AI15" i="1"/>
  <c r="AH15" i="1"/>
  <c r="AG15" i="1"/>
  <c r="AF15" i="1"/>
  <c r="AE15" i="1"/>
  <c r="AD15" i="1"/>
  <c r="AC15" i="1"/>
  <c r="AJ14" i="1"/>
  <c r="AI14" i="1"/>
  <c r="AH14" i="1"/>
  <c r="AG14" i="1"/>
  <c r="AF14" i="1"/>
  <c r="AE14" i="1"/>
  <c r="AD14" i="1"/>
  <c r="AC14" i="1"/>
  <c r="AJ13" i="1"/>
  <c r="AI13" i="1"/>
  <c r="AH13" i="1"/>
  <c r="AG13" i="1"/>
  <c r="AF13" i="1"/>
  <c r="AE13" i="1"/>
  <c r="AD13" i="1"/>
  <c r="AC13" i="1"/>
  <c r="AJ12" i="1"/>
  <c r="AI12" i="1"/>
  <c r="AH12" i="1"/>
  <c r="AG12" i="1"/>
  <c r="AF12" i="1"/>
  <c r="AE12" i="1"/>
  <c r="AD12" i="1"/>
  <c r="AC12" i="1"/>
  <c r="AJ11" i="1"/>
  <c r="AI11" i="1"/>
  <c r="AH11" i="1"/>
  <c r="AG11" i="1"/>
  <c r="AF11" i="1"/>
  <c r="AE11" i="1"/>
  <c r="AD11" i="1"/>
  <c r="AC11"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2" i="1"/>
  <c r="AB11" i="1"/>
  <c r="AB13" i="1"/>
  <c r="Q42" i="6"/>
  <c r="D42" i="6"/>
  <c r="N42" i="6"/>
  <c r="Q41" i="6"/>
  <c r="D41" i="6"/>
  <c r="N41" i="6"/>
  <c r="N40" i="6"/>
  <c r="N39" i="6"/>
  <c r="N38" i="6"/>
  <c r="N37" i="6"/>
  <c r="Q36" i="6"/>
  <c r="D36" i="6"/>
  <c r="N36" i="6"/>
  <c r="Q35" i="6"/>
  <c r="D35" i="6"/>
  <c r="N35" i="6"/>
  <c r="Q34" i="6"/>
  <c r="D34" i="6"/>
  <c r="N34" i="6"/>
  <c r="Q33" i="6"/>
  <c r="D33" i="6"/>
  <c r="N33" i="6"/>
  <c r="Q32" i="6"/>
  <c r="D32" i="6"/>
  <c r="N32" i="6"/>
  <c r="Q31" i="6"/>
  <c r="D31" i="6"/>
  <c r="N31" i="6"/>
  <c r="Q30" i="6"/>
  <c r="D30" i="6"/>
  <c r="N30" i="6"/>
  <c r="Q29" i="6"/>
  <c r="D29" i="6"/>
  <c r="N29" i="6"/>
  <c r="D28" i="6"/>
  <c r="N28" i="6"/>
  <c r="D27" i="6"/>
  <c r="N27" i="6"/>
  <c r="N26" i="6"/>
  <c r="N25" i="6"/>
  <c r="N24" i="6"/>
  <c r="N23" i="6"/>
  <c r="AF19" i="2"/>
  <c r="N22" i="6"/>
  <c r="N21" i="6"/>
  <c r="N20" i="6"/>
  <c r="N19" i="6"/>
  <c r="N18" i="6"/>
  <c r="N17" i="6"/>
  <c r="N16" i="6"/>
  <c r="AF12" i="2"/>
  <c r="N15" i="6"/>
  <c r="N14" i="6"/>
  <c r="N13" i="6"/>
  <c r="Q12" i="6"/>
  <c r="D12" i="6"/>
  <c r="N12" i="6"/>
  <c r="N11" i="6"/>
  <c r="AE39" i="2"/>
  <c r="M42" i="6"/>
  <c r="AE38" i="2"/>
  <c r="M41" i="6"/>
  <c r="AE37" i="2"/>
  <c r="M40" i="6"/>
  <c r="AE36" i="2"/>
  <c r="M39" i="6"/>
  <c r="AE35" i="2"/>
  <c r="M38" i="6"/>
  <c r="AE34" i="2"/>
  <c r="M37" i="6"/>
  <c r="AE33" i="2"/>
  <c r="M36" i="6"/>
  <c r="AE32" i="2"/>
  <c r="M35" i="6"/>
  <c r="AE31" i="2"/>
  <c r="M34" i="6"/>
  <c r="AE30" i="2"/>
  <c r="M33" i="6"/>
  <c r="AE29" i="2"/>
  <c r="M32" i="6"/>
  <c r="AE28" i="2"/>
  <c r="M31" i="6"/>
  <c r="AE27" i="2"/>
  <c r="M30" i="6"/>
  <c r="AE26" i="2"/>
  <c r="M29" i="6"/>
  <c r="AE25" i="2"/>
  <c r="M28" i="6"/>
  <c r="AE24" i="2"/>
  <c r="M27" i="6"/>
  <c r="AE23" i="2"/>
  <c r="M26" i="6"/>
  <c r="M25" i="6"/>
  <c r="AE21" i="2"/>
  <c r="M24" i="6"/>
  <c r="AE20" i="2"/>
  <c r="M23" i="6"/>
  <c r="AE19" i="2"/>
  <c r="M22" i="6"/>
  <c r="M21" i="6"/>
  <c r="AE17" i="2"/>
  <c r="M20" i="6"/>
  <c r="AE16" i="2"/>
  <c r="M19" i="6"/>
  <c r="AE14" i="2"/>
  <c r="M17" i="6"/>
  <c r="AE13" i="2"/>
  <c r="M16" i="6"/>
  <c r="AG12" i="2"/>
  <c r="AE12" i="2"/>
  <c r="M15" i="6"/>
  <c r="AE11" i="2"/>
  <c r="M14" i="6"/>
  <c r="M13" i="6"/>
  <c r="M12" i="6"/>
  <c r="AE8" i="2"/>
  <c r="M11" i="6"/>
  <c r="M18" i="6"/>
  <c r="Q11" i="6"/>
  <c r="Q37" i="6"/>
  <c r="Q38" i="6"/>
  <c r="Q39" i="6"/>
  <c r="Q40" i="6"/>
  <c r="Q9" i="6"/>
  <c r="O18" i="6"/>
  <c r="O12" i="6"/>
  <c r="O13" i="6"/>
  <c r="O14" i="6"/>
  <c r="O15" i="6"/>
  <c r="O16" i="6"/>
  <c r="O17" i="6"/>
  <c r="O19" i="6"/>
  <c r="O20" i="6"/>
  <c r="O21" i="6"/>
  <c r="O22" i="6"/>
  <c r="O23" i="6"/>
  <c r="O24" i="6"/>
  <c r="O25" i="6"/>
  <c r="O27" i="6"/>
  <c r="O28" i="6"/>
  <c r="O26" i="6"/>
  <c r="O29" i="6"/>
  <c r="O30" i="6"/>
  <c r="O31" i="6"/>
  <c r="O32" i="6"/>
  <c r="O33" i="6"/>
  <c r="O34" i="6"/>
  <c r="O35" i="6"/>
  <c r="O36" i="6"/>
  <c r="O37" i="6"/>
  <c r="O38" i="6"/>
  <c r="O39" i="6"/>
  <c r="O40" i="6"/>
  <c r="O41" i="6"/>
  <c r="O42" i="6"/>
  <c r="O11" i="6"/>
  <c r="O9" i="6"/>
  <c r="N9" i="6"/>
  <c r="M9" i="6"/>
  <c r="Z9" i="2"/>
  <c r="J12" i="6"/>
  <c r="K12" i="6"/>
  <c r="Z10" i="2"/>
  <c r="J13" i="6"/>
  <c r="K13" i="6"/>
  <c r="Z11" i="2"/>
  <c r="J14" i="6"/>
  <c r="K14" i="6"/>
  <c r="Z12" i="2"/>
  <c r="J15" i="6"/>
  <c r="K15" i="6"/>
  <c r="Z13" i="2"/>
  <c r="J16" i="6"/>
  <c r="K16" i="6"/>
  <c r="Z14" i="2"/>
  <c r="J17" i="6"/>
  <c r="K17" i="6"/>
  <c r="Z15" i="2"/>
  <c r="J18" i="6"/>
  <c r="K18" i="6"/>
  <c r="Z16" i="2"/>
  <c r="J19" i="6"/>
  <c r="K19" i="6"/>
  <c r="Z17" i="2"/>
  <c r="J20" i="6"/>
  <c r="K20" i="6"/>
  <c r="Z18" i="2"/>
  <c r="J21" i="6"/>
  <c r="K21" i="6"/>
  <c r="Z19" i="2"/>
  <c r="AB19" i="2"/>
  <c r="J22" i="6"/>
  <c r="K22" i="6"/>
  <c r="Z20" i="2"/>
  <c r="J23" i="6"/>
  <c r="K23" i="6"/>
  <c r="Z21" i="2"/>
  <c r="J24" i="6"/>
  <c r="K24" i="6"/>
  <c r="Z22" i="2"/>
  <c r="J25" i="6"/>
  <c r="K25" i="6"/>
  <c r="Z24" i="2"/>
  <c r="J27" i="6"/>
  <c r="K27" i="6"/>
  <c r="Z25" i="2"/>
  <c r="J28" i="6"/>
  <c r="K28" i="6"/>
  <c r="K26" i="6"/>
  <c r="Z26" i="2"/>
  <c r="J29" i="6"/>
  <c r="K29" i="6"/>
  <c r="Z27" i="2"/>
  <c r="J30" i="6"/>
  <c r="K30" i="6"/>
  <c r="Z28" i="2"/>
  <c r="J31" i="6"/>
  <c r="K31" i="6"/>
  <c r="Z29" i="2"/>
  <c r="J32" i="6"/>
  <c r="K32" i="6"/>
  <c r="Z30" i="2"/>
  <c r="J33" i="6"/>
  <c r="K33" i="6"/>
  <c r="Z31" i="2"/>
  <c r="J34" i="6"/>
  <c r="K34" i="6"/>
  <c r="Z32" i="2"/>
  <c r="J35" i="6"/>
  <c r="K35" i="6"/>
  <c r="Z33" i="2"/>
  <c r="J36" i="6"/>
  <c r="K36" i="6"/>
  <c r="Z34" i="2"/>
  <c r="J37" i="6"/>
  <c r="K37" i="6"/>
  <c r="Z35" i="2"/>
  <c r="J38" i="6"/>
  <c r="K38" i="6"/>
  <c r="Z36" i="2"/>
  <c r="J39" i="6"/>
  <c r="K39" i="6"/>
  <c r="Z37" i="2"/>
  <c r="J40" i="6"/>
  <c r="K40" i="6"/>
  <c r="Z38" i="2"/>
  <c r="J41" i="6"/>
  <c r="K41" i="6"/>
  <c r="Z39" i="2"/>
  <c r="J42" i="6"/>
  <c r="K42" i="6"/>
  <c r="Z8" i="2"/>
  <c r="J11" i="6"/>
  <c r="K11" i="6"/>
  <c r="K9" i="6"/>
  <c r="J26" i="6"/>
  <c r="J9" i="6"/>
  <c r="D9" i="6"/>
  <c r="F15" i="6"/>
  <c r="F16" i="6"/>
  <c r="F17" i="6"/>
  <c r="F18" i="6"/>
  <c r="F19" i="6"/>
  <c r="F20" i="6"/>
  <c r="F21" i="6"/>
  <c r="F22" i="6"/>
  <c r="F23" i="6"/>
  <c r="F24" i="6"/>
  <c r="F25" i="6"/>
  <c r="F27" i="6"/>
  <c r="F28" i="6"/>
  <c r="F26" i="6"/>
  <c r="F29" i="6"/>
  <c r="F30" i="6"/>
  <c r="F31" i="6"/>
  <c r="F32" i="6"/>
  <c r="F33" i="6"/>
  <c r="F34" i="6"/>
  <c r="F35" i="6"/>
  <c r="F36" i="6"/>
  <c r="F37" i="6"/>
  <c r="F38" i="6"/>
  <c r="F39" i="6"/>
  <c r="F40" i="6"/>
  <c r="F41" i="6"/>
  <c r="F42" i="6"/>
  <c r="F13" i="6"/>
  <c r="F12" i="6"/>
  <c r="F14" i="6"/>
  <c r="F11" i="6"/>
  <c r="F9" i="6"/>
  <c r="G12" i="6"/>
  <c r="H12" i="6"/>
  <c r="G13" i="6"/>
  <c r="H13" i="6"/>
  <c r="G14" i="6"/>
  <c r="H14" i="6"/>
  <c r="G15" i="6"/>
  <c r="H15" i="6"/>
  <c r="G16" i="6"/>
  <c r="H16" i="6"/>
  <c r="G17" i="6"/>
  <c r="H17" i="6"/>
  <c r="G18" i="6"/>
  <c r="H18" i="6"/>
  <c r="G19" i="6"/>
  <c r="H19" i="6"/>
  <c r="G20" i="6"/>
  <c r="H20" i="6"/>
  <c r="G21" i="6"/>
  <c r="H21" i="6"/>
  <c r="G22" i="6"/>
  <c r="H22" i="6"/>
  <c r="G23" i="6"/>
  <c r="H23" i="6"/>
  <c r="G24" i="6"/>
  <c r="H24" i="6"/>
  <c r="G25" i="6"/>
  <c r="H25" i="6"/>
  <c r="Q24" i="2"/>
  <c r="G27" i="6"/>
  <c r="H27" i="6"/>
  <c r="Q25" i="2"/>
  <c r="G28" i="6"/>
  <c r="H28" i="6"/>
  <c r="H26" i="6"/>
  <c r="Q26" i="2"/>
  <c r="G29" i="6"/>
  <c r="H29" i="6"/>
  <c r="Q27" i="2"/>
  <c r="G30" i="6"/>
  <c r="H30" i="6"/>
  <c r="Q28" i="2"/>
  <c r="G31" i="6"/>
  <c r="H31" i="6"/>
  <c r="Q29" i="2"/>
  <c r="G32" i="6"/>
  <c r="H32" i="6"/>
  <c r="Q30" i="2"/>
  <c r="G33" i="6"/>
  <c r="H33" i="6"/>
  <c r="Q31" i="2"/>
  <c r="G34" i="6"/>
  <c r="H34" i="6"/>
  <c r="Q32" i="2"/>
  <c r="G35" i="6"/>
  <c r="H35" i="6"/>
  <c r="Q33" i="2"/>
  <c r="G36" i="6"/>
  <c r="H36" i="6"/>
  <c r="Q34" i="2"/>
  <c r="G37" i="6"/>
  <c r="H37" i="6"/>
  <c r="Q35" i="2"/>
  <c r="G38" i="6"/>
  <c r="H38" i="6"/>
  <c r="Q36" i="2"/>
  <c r="G39" i="6"/>
  <c r="H39" i="6"/>
  <c r="Q37" i="2"/>
  <c r="G40" i="6"/>
  <c r="H40" i="6"/>
  <c r="Q38" i="2"/>
  <c r="G41" i="6"/>
  <c r="H41" i="6"/>
  <c r="Q39" i="2"/>
  <c r="G42" i="6"/>
  <c r="H42" i="6"/>
  <c r="Q8" i="2"/>
  <c r="G11" i="6"/>
  <c r="H11" i="6"/>
  <c r="H9" i="6"/>
  <c r="AI14" i="2"/>
  <c r="AJ14" i="2"/>
  <c r="AK14" i="2"/>
  <c r="AM14" i="2"/>
  <c r="AL14" i="2"/>
  <c r="AC14" i="2"/>
  <c r="AI13" i="2"/>
  <c r="AJ13" i="2"/>
  <c r="AK13" i="2"/>
  <c r="AM13" i="2"/>
  <c r="AL13" i="2"/>
  <c r="AC13" i="2"/>
  <c r="AB12" i="3"/>
  <c r="AA12" i="3"/>
  <c r="Z12" i="3"/>
  <c r="Y12" i="3"/>
  <c r="X12" i="3"/>
  <c r="W12" i="3"/>
  <c r="V12" i="3"/>
  <c r="U12" i="3"/>
  <c r="T12" i="3"/>
  <c r="S12" i="3"/>
  <c r="R12" i="3"/>
  <c r="Q12" i="3"/>
  <c r="P12" i="3"/>
  <c r="K12" i="3"/>
  <c r="J12" i="3"/>
  <c r="I12" i="3"/>
  <c r="F12" i="3"/>
  <c r="C12" i="3"/>
  <c r="AB11" i="3"/>
  <c r="AA11" i="3"/>
  <c r="Z11" i="3"/>
  <c r="Y11" i="3"/>
  <c r="X11" i="3"/>
  <c r="W11" i="3"/>
  <c r="V11" i="3"/>
  <c r="U11" i="3"/>
  <c r="T11" i="3"/>
  <c r="S11" i="3"/>
  <c r="R11" i="3"/>
  <c r="Q11" i="3"/>
  <c r="P11" i="3"/>
  <c r="K11" i="3"/>
  <c r="J11" i="3"/>
  <c r="I11" i="3"/>
  <c r="F11" i="3"/>
  <c r="C11" i="3"/>
  <c r="K20" i="3"/>
  <c r="J20" i="3"/>
  <c r="G9" i="1"/>
  <c r="G25" i="1"/>
  <c r="H9" i="1"/>
  <c r="H25" i="1"/>
  <c r="J9" i="1"/>
  <c r="K4" i="1"/>
  <c r="J25" i="1"/>
  <c r="S20" i="3"/>
  <c r="R20" i="3"/>
  <c r="K9" i="1"/>
  <c r="K5" i="1"/>
  <c r="K25" i="1"/>
  <c r="F20" i="3"/>
  <c r="M25" i="1"/>
  <c r="Q20" i="3"/>
  <c r="P20" i="3"/>
  <c r="N9" i="1"/>
  <c r="N25" i="1"/>
  <c r="U20" i="3"/>
  <c r="T20" i="3"/>
  <c r="O9" i="1"/>
  <c r="O25" i="1"/>
  <c r="X20" i="3"/>
  <c r="Y20" i="3"/>
  <c r="Z20" i="3"/>
  <c r="W20" i="3"/>
  <c r="P9" i="1"/>
  <c r="P25" i="1"/>
  <c r="R9" i="1"/>
  <c r="AB20" i="3"/>
  <c r="R25" i="1"/>
  <c r="T25" i="1"/>
  <c r="K6" i="3"/>
  <c r="J6" i="3"/>
  <c r="G11" i="1"/>
  <c r="H11" i="1"/>
  <c r="J11" i="1"/>
  <c r="AK8" i="2"/>
  <c r="AM8" i="2"/>
  <c r="S6" i="3"/>
  <c r="R6" i="3"/>
  <c r="K11" i="1"/>
  <c r="M11" i="1"/>
  <c r="Q6" i="3"/>
  <c r="P6" i="3"/>
  <c r="N11" i="1"/>
  <c r="U6" i="3"/>
  <c r="T6" i="3"/>
  <c r="O11" i="1"/>
  <c r="X6" i="3"/>
  <c r="W6" i="3"/>
  <c r="P11" i="1"/>
  <c r="AB6" i="3"/>
  <c r="R11" i="1"/>
  <c r="T11" i="1"/>
  <c r="K7" i="3"/>
  <c r="J7" i="3"/>
  <c r="G12" i="1"/>
  <c r="H12" i="1"/>
  <c r="J12" i="1"/>
  <c r="S7" i="3"/>
  <c r="R7" i="3"/>
  <c r="K12" i="1"/>
  <c r="Q7" i="3"/>
  <c r="P7" i="3"/>
  <c r="N12" i="1"/>
  <c r="U7" i="3"/>
  <c r="T7" i="3"/>
  <c r="O12" i="1"/>
  <c r="X7" i="3"/>
  <c r="Y7" i="3"/>
  <c r="Z7" i="3"/>
  <c r="W7" i="3"/>
  <c r="P12" i="1"/>
  <c r="AB7" i="3"/>
  <c r="R12" i="1"/>
  <c r="T12" i="1"/>
  <c r="K8" i="3"/>
  <c r="J8" i="3"/>
  <c r="G13" i="1"/>
  <c r="H13" i="1"/>
  <c r="J13" i="1"/>
  <c r="S8" i="3"/>
  <c r="R8" i="3"/>
  <c r="K13" i="1"/>
  <c r="F8" i="3"/>
  <c r="M13" i="1"/>
  <c r="Q8" i="3"/>
  <c r="P8" i="3"/>
  <c r="N13" i="1"/>
  <c r="U8" i="3"/>
  <c r="T8" i="3"/>
  <c r="O13" i="1"/>
  <c r="X8" i="3"/>
  <c r="Y8" i="3"/>
  <c r="Z8" i="3"/>
  <c r="W8" i="3"/>
  <c r="P13" i="1"/>
  <c r="AB8" i="3"/>
  <c r="R13" i="1"/>
  <c r="T13" i="1"/>
  <c r="K9" i="3"/>
  <c r="J9" i="3"/>
  <c r="G14" i="1"/>
  <c r="H14" i="1"/>
  <c r="AI11" i="2"/>
  <c r="AJ11" i="2"/>
  <c r="AK11" i="2"/>
  <c r="AM11" i="2"/>
  <c r="S9" i="3"/>
  <c r="R9" i="3"/>
  <c r="K14" i="1"/>
  <c r="F9" i="3"/>
  <c r="M14" i="1"/>
  <c r="Q9" i="3"/>
  <c r="P9" i="3"/>
  <c r="N14" i="1"/>
  <c r="U9" i="3"/>
  <c r="T9" i="3"/>
  <c r="O14" i="1"/>
  <c r="X9" i="3"/>
  <c r="Y9" i="3"/>
  <c r="Z9" i="3"/>
  <c r="W9" i="3"/>
  <c r="P14" i="1"/>
  <c r="AB9" i="3"/>
  <c r="T14" i="1"/>
  <c r="K10" i="3"/>
  <c r="J10" i="3"/>
  <c r="G15" i="1"/>
  <c r="H15" i="1"/>
  <c r="J15" i="1"/>
  <c r="AI12" i="2"/>
  <c r="AJ12" i="2"/>
  <c r="AK12" i="2"/>
  <c r="AM12" i="2"/>
  <c r="S10" i="3"/>
  <c r="R10" i="3"/>
  <c r="K15" i="1"/>
  <c r="F10" i="3"/>
  <c r="M15" i="1"/>
  <c r="Q10" i="3"/>
  <c r="P10" i="3"/>
  <c r="N15" i="1"/>
  <c r="U10" i="3"/>
  <c r="T10" i="3"/>
  <c r="O15" i="1"/>
  <c r="X10" i="3"/>
  <c r="Y10" i="3"/>
  <c r="Z10" i="3"/>
  <c r="W10" i="3"/>
  <c r="P15" i="1"/>
  <c r="AB10" i="3"/>
  <c r="R15" i="1"/>
  <c r="T15" i="1"/>
  <c r="G16" i="1"/>
  <c r="H16" i="1"/>
  <c r="J16" i="1"/>
  <c r="K16" i="1"/>
  <c r="M16" i="1"/>
  <c r="N16" i="1"/>
  <c r="O16" i="1"/>
  <c r="P16" i="1"/>
  <c r="R16" i="1"/>
  <c r="T16" i="1"/>
  <c r="G17" i="1"/>
  <c r="H17" i="1"/>
  <c r="J17" i="1"/>
  <c r="K17" i="1"/>
  <c r="M17" i="1"/>
  <c r="N17" i="1"/>
  <c r="O17" i="1"/>
  <c r="P17" i="1"/>
  <c r="R17" i="1"/>
  <c r="T17" i="1"/>
  <c r="K13" i="3"/>
  <c r="J13" i="3"/>
  <c r="G18" i="1"/>
  <c r="H18" i="1"/>
  <c r="J18" i="1"/>
  <c r="S13" i="3"/>
  <c r="R13" i="3"/>
  <c r="K18" i="1"/>
  <c r="F13" i="3"/>
  <c r="M18" i="1"/>
  <c r="Q13" i="3"/>
  <c r="P13" i="3"/>
  <c r="N18" i="1"/>
  <c r="U13" i="3"/>
  <c r="T13" i="3"/>
  <c r="O18" i="1"/>
  <c r="X13" i="3"/>
  <c r="Y13" i="3"/>
  <c r="Z13" i="3"/>
  <c r="W13" i="3"/>
  <c r="P18" i="1"/>
  <c r="AB13" i="3"/>
  <c r="R18" i="1"/>
  <c r="T18" i="1"/>
  <c r="K14" i="3"/>
  <c r="J14" i="3"/>
  <c r="G19" i="1"/>
  <c r="H19" i="1"/>
  <c r="J19" i="1"/>
  <c r="AI16" i="2"/>
  <c r="AJ16" i="2"/>
  <c r="AK16" i="2"/>
  <c r="AM16" i="2"/>
  <c r="S14" i="3"/>
  <c r="R14" i="3"/>
  <c r="K19" i="1"/>
  <c r="F14" i="3"/>
  <c r="M19" i="1"/>
  <c r="Q14" i="3"/>
  <c r="P14" i="3"/>
  <c r="N19" i="1"/>
  <c r="U14" i="3"/>
  <c r="T14" i="3"/>
  <c r="O19" i="1"/>
  <c r="X14" i="3"/>
  <c r="W14" i="3"/>
  <c r="P19" i="1"/>
  <c r="AB14" i="3"/>
  <c r="R19" i="1"/>
  <c r="T19" i="1"/>
  <c r="K15" i="3"/>
  <c r="J15" i="3"/>
  <c r="G20" i="1"/>
  <c r="H20" i="1"/>
  <c r="J20" i="1"/>
  <c r="AI17" i="2"/>
  <c r="AJ17" i="2"/>
  <c r="AK17" i="2"/>
  <c r="AM17" i="2"/>
  <c r="S15" i="3"/>
  <c r="R15" i="3"/>
  <c r="K20" i="1"/>
  <c r="F15" i="3"/>
  <c r="M20" i="1"/>
  <c r="Q15" i="3"/>
  <c r="P15" i="3"/>
  <c r="N20" i="1"/>
  <c r="U15" i="3"/>
  <c r="T15" i="3"/>
  <c r="O20" i="1"/>
  <c r="X15" i="3"/>
  <c r="W15" i="3"/>
  <c r="P20" i="1"/>
  <c r="AB15" i="3"/>
  <c r="R20" i="1"/>
  <c r="T20" i="1"/>
  <c r="K16" i="3"/>
  <c r="J16" i="3"/>
  <c r="G21" i="1"/>
  <c r="H21" i="1"/>
  <c r="J21" i="1"/>
  <c r="S16" i="3"/>
  <c r="R16" i="3"/>
  <c r="K21" i="1"/>
  <c r="F16" i="3"/>
  <c r="M21" i="1"/>
  <c r="Q16" i="3"/>
  <c r="P16" i="3"/>
  <c r="N21" i="1"/>
  <c r="U16" i="3"/>
  <c r="T16" i="3"/>
  <c r="O21" i="1"/>
  <c r="X16" i="3"/>
  <c r="Y16" i="3"/>
  <c r="Z16" i="3"/>
  <c r="W16" i="3"/>
  <c r="P21" i="1"/>
  <c r="AB16" i="3"/>
  <c r="R21" i="1"/>
  <c r="T21" i="1"/>
  <c r="K17" i="3"/>
  <c r="J17" i="3"/>
  <c r="G22" i="1"/>
  <c r="H22" i="1"/>
  <c r="J22" i="1"/>
  <c r="AI19" i="2"/>
  <c r="AJ19" i="2"/>
  <c r="AK19" i="2"/>
  <c r="AM19" i="2"/>
  <c r="S17" i="3"/>
  <c r="R17" i="3"/>
  <c r="K22" i="1"/>
  <c r="F17" i="3"/>
  <c r="M22" i="1"/>
  <c r="Q17" i="3"/>
  <c r="P17" i="3"/>
  <c r="N22" i="1"/>
  <c r="U17" i="3"/>
  <c r="T17" i="3"/>
  <c r="O22" i="1"/>
  <c r="X17" i="3"/>
  <c r="Y17" i="3"/>
  <c r="Z17" i="3"/>
  <c r="W17" i="3"/>
  <c r="P22" i="1"/>
  <c r="AB17" i="3"/>
  <c r="R22" i="1"/>
  <c r="T22" i="1"/>
  <c r="K18" i="3"/>
  <c r="J18" i="3"/>
  <c r="G23" i="1"/>
  <c r="H23" i="1"/>
  <c r="J23" i="1"/>
  <c r="AI20" i="2"/>
  <c r="AJ20" i="2"/>
  <c r="AK20" i="2"/>
  <c r="AM20" i="2"/>
  <c r="S18" i="3"/>
  <c r="R18" i="3"/>
  <c r="K23" i="1"/>
  <c r="F18" i="3"/>
  <c r="M23" i="1"/>
  <c r="Q18" i="3"/>
  <c r="P18" i="3"/>
  <c r="N23" i="1"/>
  <c r="U18" i="3"/>
  <c r="T18" i="3"/>
  <c r="O23" i="1"/>
  <c r="X18" i="3"/>
  <c r="W18" i="3"/>
  <c r="P23" i="1"/>
  <c r="AB18" i="3"/>
  <c r="R23" i="1"/>
  <c r="T23" i="1"/>
  <c r="K19" i="3"/>
  <c r="J19" i="3"/>
  <c r="G24" i="1"/>
  <c r="H24" i="1"/>
  <c r="J24" i="1"/>
  <c r="AI21" i="2"/>
  <c r="AJ21" i="2"/>
  <c r="AK21" i="2"/>
  <c r="AM21" i="2"/>
  <c r="S19" i="3"/>
  <c r="R19" i="3"/>
  <c r="K24" i="1"/>
  <c r="F19" i="3"/>
  <c r="M24" i="1"/>
  <c r="Q19" i="3"/>
  <c r="P19" i="3"/>
  <c r="N24" i="1"/>
  <c r="U19" i="3"/>
  <c r="T19" i="3"/>
  <c r="O24" i="1"/>
  <c r="X19" i="3"/>
  <c r="W19" i="3"/>
  <c r="P24" i="1"/>
  <c r="AB19" i="3"/>
  <c r="R24" i="1"/>
  <c r="T24" i="1"/>
  <c r="Q23" i="2"/>
  <c r="K21" i="3"/>
  <c r="J21" i="3"/>
  <c r="G26" i="1"/>
  <c r="H26" i="1"/>
  <c r="J26" i="1"/>
  <c r="AI23" i="2"/>
  <c r="AJ23" i="2"/>
  <c r="AK23" i="2"/>
  <c r="AM23" i="2"/>
  <c r="S21" i="3"/>
  <c r="R21" i="3"/>
  <c r="K26" i="1"/>
  <c r="F21" i="3"/>
  <c r="M26" i="1"/>
  <c r="Q21" i="3"/>
  <c r="P21" i="3"/>
  <c r="N26" i="1"/>
  <c r="U21" i="3"/>
  <c r="T21" i="3"/>
  <c r="O26" i="1"/>
  <c r="X21" i="3"/>
  <c r="W21" i="3"/>
  <c r="P26" i="1"/>
  <c r="AB21" i="3"/>
  <c r="R26" i="1"/>
  <c r="T26" i="1"/>
  <c r="K22" i="3"/>
  <c r="J22" i="3"/>
  <c r="G27" i="1"/>
  <c r="H27" i="1"/>
  <c r="J27" i="1"/>
  <c r="AI24" i="2"/>
  <c r="AJ24" i="2"/>
  <c r="AK24" i="2"/>
  <c r="AM24" i="2"/>
  <c r="S22" i="3"/>
  <c r="R22" i="3"/>
  <c r="K27" i="1"/>
  <c r="F22" i="3"/>
  <c r="M27" i="1"/>
  <c r="Q22" i="3"/>
  <c r="P22" i="3"/>
  <c r="N27" i="1"/>
  <c r="U22" i="3"/>
  <c r="T22" i="3"/>
  <c r="O27" i="1"/>
  <c r="X22" i="3"/>
  <c r="W22" i="3"/>
  <c r="P27" i="1"/>
  <c r="AB22" i="3"/>
  <c r="R27" i="1"/>
  <c r="T27" i="1"/>
  <c r="K23" i="3"/>
  <c r="J23" i="3"/>
  <c r="G28" i="1"/>
  <c r="H28" i="1"/>
  <c r="J28" i="1"/>
  <c r="AI25" i="2"/>
  <c r="AJ25" i="2"/>
  <c r="AK25" i="2"/>
  <c r="AM25" i="2"/>
  <c r="S23" i="3"/>
  <c r="R23" i="3"/>
  <c r="K28" i="1"/>
  <c r="F23" i="3"/>
  <c r="M28" i="1"/>
  <c r="Q23" i="3"/>
  <c r="P23" i="3"/>
  <c r="N28" i="1"/>
  <c r="U23" i="3"/>
  <c r="T23" i="3"/>
  <c r="O28" i="1"/>
  <c r="X23" i="3"/>
  <c r="W23" i="3"/>
  <c r="P28" i="1"/>
  <c r="AB23" i="3"/>
  <c r="R28" i="1"/>
  <c r="T28" i="1"/>
  <c r="K24" i="3"/>
  <c r="J24" i="3"/>
  <c r="G29" i="1"/>
  <c r="H29" i="1"/>
  <c r="J29" i="1"/>
  <c r="AI26" i="2"/>
  <c r="AJ26" i="2"/>
  <c r="AK26" i="2"/>
  <c r="AM26" i="2"/>
  <c r="S24" i="3"/>
  <c r="R24" i="3"/>
  <c r="K29" i="1"/>
  <c r="F24" i="3"/>
  <c r="M29" i="1"/>
  <c r="Q24" i="3"/>
  <c r="P24" i="3"/>
  <c r="N29" i="1"/>
  <c r="U24" i="3"/>
  <c r="T24" i="3"/>
  <c r="O29" i="1"/>
  <c r="X24" i="3"/>
  <c r="W24" i="3"/>
  <c r="P29" i="1"/>
  <c r="AB24" i="3"/>
  <c r="R29" i="1"/>
  <c r="T29" i="1"/>
  <c r="K25" i="3"/>
  <c r="J25" i="3"/>
  <c r="G30" i="1"/>
  <c r="H30" i="1"/>
  <c r="J30" i="1"/>
  <c r="AI27" i="2"/>
  <c r="AJ27" i="2"/>
  <c r="AK27" i="2"/>
  <c r="AM27" i="2"/>
  <c r="S25" i="3"/>
  <c r="R25" i="3"/>
  <c r="K30" i="1"/>
  <c r="F25" i="3"/>
  <c r="M30" i="1"/>
  <c r="Q25" i="3"/>
  <c r="P25" i="3"/>
  <c r="N30" i="1"/>
  <c r="U25" i="3"/>
  <c r="T25" i="3"/>
  <c r="O30" i="1"/>
  <c r="X25" i="3"/>
  <c r="W25" i="3"/>
  <c r="P30" i="1"/>
  <c r="AB25" i="3"/>
  <c r="R30" i="1"/>
  <c r="T30" i="1"/>
  <c r="K26" i="3"/>
  <c r="J26" i="3"/>
  <c r="G31" i="1"/>
  <c r="H31" i="1"/>
  <c r="J31" i="1"/>
  <c r="AI28" i="2"/>
  <c r="AJ28" i="2"/>
  <c r="AK28" i="2"/>
  <c r="AM28" i="2"/>
  <c r="S26" i="3"/>
  <c r="R26" i="3"/>
  <c r="K31" i="1"/>
  <c r="F26" i="3"/>
  <c r="M31" i="1"/>
  <c r="Q26" i="3"/>
  <c r="P26" i="3"/>
  <c r="N31" i="1"/>
  <c r="U26" i="3"/>
  <c r="T26" i="3"/>
  <c r="O31" i="1"/>
  <c r="X26" i="3"/>
  <c r="W26" i="3"/>
  <c r="P31" i="1"/>
  <c r="AB26" i="3"/>
  <c r="R31" i="1"/>
  <c r="T31" i="1"/>
  <c r="K27" i="3"/>
  <c r="J27" i="3"/>
  <c r="G32" i="1"/>
  <c r="H32" i="1"/>
  <c r="J32" i="1"/>
  <c r="AI29" i="2"/>
  <c r="AJ29" i="2"/>
  <c r="AK29" i="2"/>
  <c r="AM29" i="2"/>
  <c r="S27" i="3"/>
  <c r="R27" i="3"/>
  <c r="K32" i="1"/>
  <c r="F27" i="3"/>
  <c r="M32" i="1"/>
  <c r="Q27" i="3"/>
  <c r="P27" i="3"/>
  <c r="N32" i="1"/>
  <c r="U27" i="3"/>
  <c r="T27" i="3"/>
  <c r="O32" i="1"/>
  <c r="X27" i="3"/>
  <c r="W27" i="3"/>
  <c r="P32" i="1"/>
  <c r="AB27" i="3"/>
  <c r="R32" i="1"/>
  <c r="T32" i="1"/>
  <c r="K28" i="3"/>
  <c r="J28" i="3"/>
  <c r="G33" i="1"/>
  <c r="H33" i="1"/>
  <c r="J33" i="1"/>
  <c r="AI30" i="2"/>
  <c r="AJ30" i="2"/>
  <c r="AK30" i="2"/>
  <c r="AM30" i="2"/>
  <c r="S28" i="3"/>
  <c r="R28" i="3"/>
  <c r="K33" i="1"/>
  <c r="F28" i="3"/>
  <c r="M33" i="1"/>
  <c r="Q28" i="3"/>
  <c r="P28" i="3"/>
  <c r="N33" i="1"/>
  <c r="U28" i="3"/>
  <c r="T28" i="3"/>
  <c r="O33" i="1"/>
  <c r="X28" i="3"/>
  <c r="W28" i="3"/>
  <c r="P33" i="1"/>
  <c r="AB28" i="3"/>
  <c r="R33" i="1"/>
  <c r="T33" i="1"/>
  <c r="K29" i="3"/>
  <c r="J29" i="3"/>
  <c r="G34" i="1"/>
  <c r="H34" i="1"/>
  <c r="J34" i="1"/>
  <c r="AI31" i="2"/>
  <c r="AJ31" i="2"/>
  <c r="AK31" i="2"/>
  <c r="AM31" i="2"/>
  <c r="S29" i="3"/>
  <c r="R29" i="3"/>
  <c r="K34" i="1"/>
  <c r="F29" i="3"/>
  <c r="M34" i="1"/>
  <c r="Q29" i="3"/>
  <c r="P29" i="3"/>
  <c r="N34" i="1"/>
  <c r="U29" i="3"/>
  <c r="T29" i="3"/>
  <c r="O34" i="1"/>
  <c r="X29" i="3"/>
  <c r="W29" i="3"/>
  <c r="P34" i="1"/>
  <c r="AB29" i="3"/>
  <c r="R34" i="1"/>
  <c r="T34" i="1"/>
  <c r="K30" i="3"/>
  <c r="J30" i="3"/>
  <c r="G35" i="1"/>
  <c r="H35" i="1"/>
  <c r="J35" i="1"/>
  <c r="AI32" i="2"/>
  <c r="AJ32" i="2"/>
  <c r="AK32" i="2"/>
  <c r="AM32" i="2"/>
  <c r="S30" i="3"/>
  <c r="R30" i="3"/>
  <c r="K35" i="1"/>
  <c r="F30" i="3"/>
  <c r="M35" i="1"/>
  <c r="Q30" i="3"/>
  <c r="P30" i="3"/>
  <c r="N35" i="1"/>
  <c r="U30" i="3"/>
  <c r="T30" i="3"/>
  <c r="O35" i="1"/>
  <c r="X30" i="3"/>
  <c r="W30" i="3"/>
  <c r="P35" i="1"/>
  <c r="AB30" i="3"/>
  <c r="R35" i="1"/>
  <c r="T35" i="1"/>
  <c r="K31" i="3"/>
  <c r="J31" i="3"/>
  <c r="G36" i="1"/>
  <c r="H36" i="1"/>
  <c r="J36" i="1"/>
  <c r="AI33" i="2"/>
  <c r="AJ33" i="2"/>
  <c r="AK33" i="2"/>
  <c r="AM33" i="2"/>
  <c r="S31" i="3"/>
  <c r="R31" i="3"/>
  <c r="K36" i="1"/>
  <c r="F31" i="3"/>
  <c r="M36" i="1"/>
  <c r="Q31" i="3"/>
  <c r="P31" i="3"/>
  <c r="N36" i="1"/>
  <c r="U31" i="3"/>
  <c r="T31" i="3"/>
  <c r="O36" i="1"/>
  <c r="X31" i="3"/>
  <c r="W31" i="3"/>
  <c r="P36" i="1"/>
  <c r="AB31" i="3"/>
  <c r="R36" i="1"/>
  <c r="T36" i="1"/>
  <c r="K32" i="3"/>
  <c r="J32" i="3"/>
  <c r="G37" i="1"/>
  <c r="H37" i="1"/>
  <c r="J37" i="1"/>
  <c r="AI34" i="2"/>
  <c r="AJ34" i="2"/>
  <c r="AK34" i="2"/>
  <c r="AM34" i="2"/>
  <c r="S32" i="3"/>
  <c r="R32" i="3"/>
  <c r="K37" i="1"/>
  <c r="F32" i="3"/>
  <c r="M37" i="1"/>
  <c r="Q32" i="3"/>
  <c r="P32" i="3"/>
  <c r="N37" i="1"/>
  <c r="U32" i="3"/>
  <c r="T32" i="3"/>
  <c r="O37" i="1"/>
  <c r="X32" i="3"/>
  <c r="W32" i="3"/>
  <c r="P37" i="1"/>
  <c r="AB32" i="3"/>
  <c r="R37" i="1"/>
  <c r="T37" i="1"/>
  <c r="K33" i="3"/>
  <c r="J33" i="3"/>
  <c r="G38" i="1"/>
  <c r="H38" i="1"/>
  <c r="J38" i="1"/>
  <c r="AI35" i="2"/>
  <c r="AJ35" i="2"/>
  <c r="AK35" i="2"/>
  <c r="AM35" i="2"/>
  <c r="S33" i="3"/>
  <c r="R33" i="3"/>
  <c r="K38" i="1"/>
  <c r="F33" i="3"/>
  <c r="M38" i="1"/>
  <c r="Q33" i="3"/>
  <c r="P33" i="3"/>
  <c r="N38" i="1"/>
  <c r="U33" i="3"/>
  <c r="T33" i="3"/>
  <c r="O38" i="1"/>
  <c r="X33" i="3"/>
  <c r="W33" i="3"/>
  <c r="P38" i="1"/>
  <c r="AB33" i="3"/>
  <c r="R38" i="1"/>
  <c r="T38" i="1"/>
  <c r="K34" i="3"/>
  <c r="J34" i="3"/>
  <c r="G39" i="1"/>
  <c r="H39" i="1"/>
  <c r="J39" i="1"/>
  <c r="AI36" i="2"/>
  <c r="AJ36" i="2"/>
  <c r="AK36" i="2"/>
  <c r="AM36" i="2"/>
  <c r="S34" i="3"/>
  <c r="R34" i="3"/>
  <c r="K39" i="1"/>
  <c r="F34" i="3"/>
  <c r="M39" i="1"/>
  <c r="Q34" i="3"/>
  <c r="P34" i="3"/>
  <c r="N39" i="1"/>
  <c r="U34" i="3"/>
  <c r="T34" i="3"/>
  <c r="O39" i="1"/>
  <c r="X34" i="3"/>
  <c r="W34" i="3"/>
  <c r="P39" i="1"/>
  <c r="AB34" i="3"/>
  <c r="R39" i="1"/>
  <c r="T39" i="1"/>
  <c r="K35" i="3"/>
  <c r="J35" i="3"/>
  <c r="G40" i="1"/>
  <c r="H40" i="1"/>
  <c r="J40" i="1"/>
  <c r="AI37" i="2"/>
  <c r="AJ37" i="2"/>
  <c r="AK37" i="2"/>
  <c r="AM37" i="2"/>
  <c r="S35" i="3"/>
  <c r="R35" i="3"/>
  <c r="K40" i="1"/>
  <c r="F35" i="3"/>
  <c r="M40" i="1"/>
  <c r="Q35" i="3"/>
  <c r="P35" i="3"/>
  <c r="N40" i="1"/>
  <c r="U35" i="3"/>
  <c r="T35" i="3"/>
  <c r="O40" i="1"/>
  <c r="X35" i="3"/>
  <c r="W35" i="3"/>
  <c r="P40" i="1"/>
  <c r="AB35" i="3"/>
  <c r="R40" i="1"/>
  <c r="T40" i="1"/>
  <c r="K36" i="3"/>
  <c r="J36" i="3"/>
  <c r="G41" i="1"/>
  <c r="H41" i="1"/>
  <c r="J41" i="1"/>
  <c r="AI38" i="2"/>
  <c r="AJ38" i="2"/>
  <c r="AK38" i="2"/>
  <c r="AM38" i="2"/>
  <c r="S36" i="3"/>
  <c r="R36" i="3"/>
  <c r="K41" i="1"/>
  <c r="F36" i="3"/>
  <c r="M41" i="1"/>
  <c r="Q36" i="3"/>
  <c r="P36" i="3"/>
  <c r="N41" i="1"/>
  <c r="U36" i="3"/>
  <c r="T36" i="3"/>
  <c r="O41" i="1"/>
  <c r="X36" i="3"/>
  <c r="W36" i="3"/>
  <c r="P41" i="1"/>
  <c r="AB36" i="3"/>
  <c r="R41" i="1"/>
  <c r="T41" i="1"/>
  <c r="K37" i="3"/>
  <c r="J37" i="3"/>
  <c r="G42" i="1"/>
  <c r="H42" i="1"/>
  <c r="J42" i="1"/>
  <c r="AI39" i="2"/>
  <c r="AJ39" i="2"/>
  <c r="AK39" i="2"/>
  <c r="AM39" i="2"/>
  <c r="S37" i="3"/>
  <c r="R37" i="3"/>
  <c r="K42" i="1"/>
  <c r="F37" i="3"/>
  <c r="M42" i="1"/>
  <c r="Q37" i="3"/>
  <c r="P37" i="3"/>
  <c r="N42" i="1"/>
  <c r="U37" i="3"/>
  <c r="T37" i="3"/>
  <c r="O42" i="1"/>
  <c r="X37" i="3"/>
  <c r="W37" i="3"/>
  <c r="P42" i="1"/>
  <c r="AB37" i="3"/>
  <c r="R42" i="1"/>
  <c r="T42" i="1"/>
  <c r="W25" i="1"/>
  <c r="W21" i="1"/>
  <c r="W13" i="1"/>
  <c r="W12" i="1"/>
  <c r="AC19" i="2"/>
  <c r="E22" i="1"/>
  <c r="E21" i="1"/>
  <c r="E20" i="1"/>
  <c r="E19" i="1"/>
  <c r="E18" i="1"/>
  <c r="E17" i="1"/>
  <c r="E16" i="1"/>
  <c r="E15" i="1"/>
  <c r="E14" i="1"/>
  <c r="E13" i="1"/>
  <c r="AL17" i="2"/>
  <c r="AC17" i="2"/>
  <c r="B35" i="3"/>
  <c r="B40" i="1"/>
  <c r="B34" i="3"/>
  <c r="B39" i="1"/>
  <c r="B33" i="3"/>
  <c r="B38" i="1"/>
  <c r="B32" i="3"/>
  <c r="B37" i="1"/>
  <c r="B31" i="3"/>
  <c r="B36" i="1"/>
  <c r="B30" i="3"/>
  <c r="B35" i="1"/>
  <c r="B29" i="3"/>
  <c r="B34" i="1"/>
  <c r="B28" i="3"/>
  <c r="B33" i="1"/>
  <c r="B27" i="3"/>
  <c r="B32" i="1"/>
  <c r="B26" i="3"/>
  <c r="B31" i="1"/>
  <c r="B25" i="3"/>
  <c r="B30" i="1"/>
  <c r="B24" i="3"/>
  <c r="B29" i="1"/>
  <c r="B15" i="3"/>
  <c r="B20" i="1"/>
  <c r="B36" i="6"/>
  <c r="B35" i="6"/>
  <c r="B34" i="6"/>
  <c r="B33" i="6"/>
  <c r="B32" i="6"/>
  <c r="B31" i="6"/>
  <c r="B30" i="6"/>
  <c r="B29" i="6"/>
  <c r="B28" i="6"/>
  <c r="B27" i="6"/>
  <c r="B21" i="3"/>
  <c r="B26" i="6"/>
  <c r="B20" i="3"/>
  <c r="B25" i="6"/>
  <c r="B19" i="3"/>
  <c r="B24" i="6"/>
  <c r="B18" i="3"/>
  <c r="B23" i="6"/>
  <c r="B16" i="3"/>
  <c r="B21" i="6"/>
  <c r="B20" i="6"/>
  <c r="B14" i="3"/>
  <c r="B19" i="6"/>
  <c r="G26" i="6"/>
  <c r="Z37" i="3"/>
  <c r="Y37" i="3"/>
  <c r="Z36" i="3"/>
  <c r="Y36" i="3"/>
  <c r="Z35" i="3"/>
  <c r="Y35" i="3"/>
  <c r="Z34" i="3"/>
  <c r="Y34" i="3"/>
  <c r="Z33" i="3"/>
  <c r="Y33" i="3"/>
  <c r="Z32" i="3"/>
  <c r="Y32" i="3"/>
  <c r="Z31" i="3"/>
  <c r="Y31" i="3"/>
  <c r="Z30" i="3"/>
  <c r="Y30" i="3"/>
  <c r="Z29" i="3"/>
  <c r="Y29" i="3"/>
  <c r="Z28" i="3"/>
  <c r="Y28" i="3"/>
  <c r="Z27" i="3"/>
  <c r="Y27" i="3"/>
  <c r="Z26" i="3"/>
  <c r="Y26" i="3"/>
  <c r="Z25" i="3"/>
  <c r="Y25" i="3"/>
  <c r="Z24" i="3"/>
  <c r="Y24" i="3"/>
  <c r="Z23" i="3"/>
  <c r="Y23" i="3"/>
  <c r="Z22" i="3"/>
  <c r="Y22" i="3"/>
  <c r="Z21" i="3"/>
  <c r="Y21" i="3"/>
  <c r="Z19" i="3"/>
  <c r="Y19" i="3"/>
  <c r="Z18" i="3"/>
  <c r="Y18" i="3"/>
  <c r="Z15" i="3"/>
  <c r="Y15" i="3"/>
  <c r="Z14" i="3"/>
  <c r="Y14" i="3"/>
  <c r="Z6" i="3"/>
  <c r="Y6" i="3"/>
  <c r="AC39" i="2"/>
  <c r="V37" i="3"/>
  <c r="AC38" i="2"/>
  <c r="V36" i="3"/>
  <c r="AC37" i="2"/>
  <c r="V35" i="3"/>
  <c r="AC36" i="2"/>
  <c r="V34" i="3"/>
  <c r="AC35" i="2"/>
  <c r="V33" i="3"/>
  <c r="AC34" i="2"/>
  <c r="V32" i="3"/>
  <c r="AC33" i="2"/>
  <c r="V31" i="3"/>
  <c r="AC32" i="2"/>
  <c r="V30" i="3"/>
  <c r="AC31" i="2"/>
  <c r="V29" i="3"/>
  <c r="AC30" i="2"/>
  <c r="V28" i="3"/>
  <c r="AC29" i="2"/>
  <c r="V27" i="3"/>
  <c r="AC28" i="2"/>
  <c r="V26" i="3"/>
  <c r="AC27" i="2"/>
  <c r="V25" i="3"/>
  <c r="AC26" i="2"/>
  <c r="V24" i="3"/>
  <c r="AC25" i="2"/>
  <c r="V23" i="3"/>
  <c r="AC24" i="2"/>
  <c r="V22" i="3"/>
  <c r="AC23" i="2"/>
  <c r="V21" i="3"/>
  <c r="V20" i="3"/>
  <c r="AC21" i="2"/>
  <c r="V19" i="3"/>
  <c r="AC20" i="2"/>
  <c r="V18" i="3"/>
  <c r="V17" i="3"/>
  <c r="V16" i="3"/>
  <c r="V15" i="3"/>
  <c r="AC16" i="2"/>
  <c r="V14" i="3"/>
  <c r="V13" i="3"/>
  <c r="AC12" i="2"/>
  <c r="V10" i="3"/>
  <c r="AC11" i="2"/>
  <c r="V9" i="3"/>
  <c r="V8" i="3"/>
  <c r="AC8" i="2"/>
  <c r="V6" i="3"/>
  <c r="V7" i="3"/>
  <c r="I37" i="3"/>
  <c r="I36" i="3"/>
  <c r="I35" i="3"/>
  <c r="I34" i="3"/>
  <c r="I33" i="3"/>
  <c r="I32" i="3"/>
  <c r="I31" i="3"/>
  <c r="I30" i="3"/>
  <c r="I29" i="3"/>
  <c r="I28" i="3"/>
  <c r="I27" i="3"/>
  <c r="I26" i="3"/>
  <c r="I25" i="3"/>
  <c r="I24" i="3"/>
  <c r="I23" i="3"/>
  <c r="I22" i="3"/>
  <c r="I21" i="3"/>
  <c r="I20" i="3"/>
  <c r="I19" i="3"/>
  <c r="I18" i="3"/>
  <c r="I17" i="3"/>
  <c r="I16" i="3"/>
  <c r="I15" i="3"/>
  <c r="I14" i="3"/>
  <c r="I13" i="3"/>
  <c r="I10" i="3"/>
  <c r="I9" i="3"/>
  <c r="I8" i="3"/>
  <c r="I7" i="3"/>
  <c r="AL16" i="2"/>
  <c r="H7" i="2"/>
  <c r="S7" i="2"/>
  <c r="R7" i="2"/>
  <c r="W28" i="6"/>
  <c r="W27" i="6"/>
  <c r="H3" i="5"/>
  <c r="G3" i="5"/>
  <c r="H5" i="5"/>
  <c r="G5" i="5"/>
  <c r="H7" i="5"/>
  <c r="G7" i="5"/>
  <c r="AQ37" i="2"/>
  <c r="AL37" i="2"/>
  <c r="AQ36" i="2"/>
  <c r="AL36" i="2"/>
  <c r="AQ35" i="2"/>
  <c r="AL35" i="2"/>
  <c r="AQ34" i="2"/>
  <c r="AL34" i="2"/>
  <c r="AQ38" i="2"/>
  <c r="AL38" i="2"/>
  <c r="R20" i="6"/>
  <c r="R21" i="6"/>
  <c r="R22" i="6"/>
  <c r="R23" i="6"/>
  <c r="R24" i="6"/>
  <c r="R25" i="6"/>
  <c r="Z23" i="2"/>
  <c r="R26" i="6"/>
  <c r="R27" i="6"/>
  <c r="R28" i="6"/>
  <c r="R29" i="6"/>
  <c r="R30" i="6"/>
  <c r="R31" i="6"/>
  <c r="R32" i="6"/>
  <c r="R33" i="6"/>
  <c r="R34" i="6"/>
  <c r="R35" i="6"/>
  <c r="R36" i="6"/>
  <c r="B37" i="6"/>
  <c r="R37" i="6"/>
  <c r="B38" i="6"/>
  <c r="R38" i="6"/>
  <c r="B39" i="6"/>
  <c r="R39" i="6"/>
  <c r="B40" i="6"/>
  <c r="R40" i="6"/>
  <c r="B36" i="3"/>
  <c r="B41" i="6"/>
  <c r="R41" i="6"/>
  <c r="B37" i="3"/>
  <c r="B42" i="6"/>
  <c r="R42" i="6"/>
  <c r="C15" i="3"/>
  <c r="C20" i="1"/>
  <c r="U20" i="1"/>
  <c r="AL20" i="1"/>
  <c r="AM20" i="1"/>
  <c r="AN20" i="1"/>
  <c r="AO20" i="1"/>
  <c r="AP20" i="1"/>
  <c r="AQ20" i="1"/>
  <c r="B21" i="1"/>
  <c r="C16" i="3"/>
  <c r="C21" i="1"/>
  <c r="U21" i="1"/>
  <c r="AL21" i="1"/>
  <c r="AM21" i="1"/>
  <c r="AN21" i="1"/>
  <c r="AO21" i="1"/>
  <c r="AP21" i="1"/>
  <c r="AQ21" i="1"/>
  <c r="B22" i="1"/>
  <c r="C17" i="3"/>
  <c r="C22" i="1"/>
  <c r="U22" i="1"/>
  <c r="AL22" i="1"/>
  <c r="AM22" i="1"/>
  <c r="AN22" i="1"/>
  <c r="AO22" i="1"/>
  <c r="AP22" i="1"/>
  <c r="AQ22" i="1"/>
  <c r="AL19" i="2"/>
  <c r="B23" i="1"/>
  <c r="C18" i="3"/>
  <c r="C23" i="1"/>
  <c r="E23" i="1"/>
  <c r="U23" i="1"/>
  <c r="AL23" i="1"/>
  <c r="AM23" i="1"/>
  <c r="AN23" i="1"/>
  <c r="AO23" i="1"/>
  <c r="AP23" i="1"/>
  <c r="AQ23" i="1"/>
  <c r="AL20" i="2"/>
  <c r="B24" i="1"/>
  <c r="C19" i="3"/>
  <c r="C24" i="1"/>
  <c r="E24" i="1"/>
  <c r="U24" i="1"/>
  <c r="AL24" i="1"/>
  <c r="AM24" i="1"/>
  <c r="AN24" i="1"/>
  <c r="AO24" i="1"/>
  <c r="AP24" i="1"/>
  <c r="AQ24" i="1"/>
  <c r="B25" i="1"/>
  <c r="C20" i="3"/>
  <c r="C25" i="1"/>
  <c r="E25" i="1"/>
  <c r="U25" i="1"/>
  <c r="AL25" i="1"/>
  <c r="AM25" i="1"/>
  <c r="AN25" i="1"/>
  <c r="AO25" i="1"/>
  <c r="AP25" i="1"/>
  <c r="AQ25" i="1"/>
  <c r="B26" i="1"/>
  <c r="C21" i="3"/>
  <c r="C26" i="1"/>
  <c r="E26" i="1"/>
  <c r="U26" i="1"/>
  <c r="AL26" i="1"/>
  <c r="AM26" i="1"/>
  <c r="AN26" i="1"/>
  <c r="AO26" i="1"/>
  <c r="AP26" i="1"/>
  <c r="AQ26" i="1"/>
  <c r="AL23" i="2"/>
  <c r="C22" i="3"/>
  <c r="C27" i="1"/>
  <c r="E27" i="1"/>
  <c r="U27" i="1"/>
  <c r="AL27" i="1"/>
  <c r="AM27" i="1"/>
  <c r="AN27" i="1"/>
  <c r="AO27" i="1"/>
  <c r="AP27" i="1"/>
  <c r="AQ27" i="1"/>
  <c r="C23" i="3"/>
  <c r="C28" i="1"/>
  <c r="E28" i="1"/>
  <c r="U28" i="1"/>
  <c r="AL28" i="1"/>
  <c r="AM28" i="1"/>
  <c r="AN28" i="1"/>
  <c r="AO28" i="1"/>
  <c r="AP28" i="1"/>
  <c r="AQ28" i="1"/>
  <c r="C24" i="3"/>
  <c r="C29" i="1"/>
  <c r="E29" i="1"/>
  <c r="U29" i="1"/>
  <c r="AL29" i="1"/>
  <c r="AM29" i="1"/>
  <c r="AN29" i="1"/>
  <c r="AO29" i="1"/>
  <c r="AP29" i="1"/>
  <c r="AQ29" i="1"/>
  <c r="C25" i="3"/>
  <c r="C30" i="1"/>
  <c r="E30" i="1"/>
  <c r="U30" i="1"/>
  <c r="AL30" i="1"/>
  <c r="AM30" i="1"/>
  <c r="AN30" i="1"/>
  <c r="AO30" i="1"/>
  <c r="AP30" i="1"/>
  <c r="AQ30" i="1"/>
  <c r="C26" i="3"/>
  <c r="C31" i="1"/>
  <c r="E31" i="1"/>
  <c r="U31" i="1"/>
  <c r="AL31" i="1"/>
  <c r="AM31" i="1"/>
  <c r="AN31" i="1"/>
  <c r="AO31" i="1"/>
  <c r="AP31" i="1"/>
  <c r="AQ31" i="1"/>
  <c r="AL28" i="2"/>
  <c r="C27" i="3"/>
  <c r="C32" i="1"/>
  <c r="E32" i="1"/>
  <c r="U32" i="1"/>
  <c r="AL32" i="1"/>
  <c r="AM32" i="1"/>
  <c r="AN32" i="1"/>
  <c r="AO32" i="1"/>
  <c r="AP32" i="1"/>
  <c r="AQ32" i="1"/>
  <c r="C28" i="3"/>
  <c r="C33" i="1"/>
  <c r="E33" i="1"/>
  <c r="U33" i="1"/>
  <c r="AL33" i="1"/>
  <c r="AM33" i="1"/>
  <c r="AN33" i="1"/>
  <c r="AO33" i="1"/>
  <c r="AP33" i="1"/>
  <c r="AQ33" i="1"/>
  <c r="C29" i="3"/>
  <c r="C34" i="1"/>
  <c r="E34" i="1"/>
  <c r="U34" i="1"/>
  <c r="AL34" i="1"/>
  <c r="AM34" i="1"/>
  <c r="AN34" i="1"/>
  <c r="AO34" i="1"/>
  <c r="AP34" i="1"/>
  <c r="AQ34" i="1"/>
  <c r="AL31" i="2"/>
  <c r="C30" i="3"/>
  <c r="C35" i="1"/>
  <c r="E35" i="1"/>
  <c r="U35" i="1"/>
  <c r="AL35" i="1"/>
  <c r="AM35" i="1"/>
  <c r="AN35" i="1"/>
  <c r="AO35" i="1"/>
  <c r="AP35" i="1"/>
  <c r="AQ35" i="1"/>
  <c r="C31" i="3"/>
  <c r="C36" i="1"/>
  <c r="E36" i="1"/>
  <c r="U36" i="1"/>
  <c r="AL36" i="1"/>
  <c r="AM36" i="1"/>
  <c r="AN36" i="1"/>
  <c r="AO36" i="1"/>
  <c r="AP36" i="1"/>
  <c r="AQ36" i="1"/>
  <c r="AL33" i="2"/>
  <c r="C32" i="3"/>
  <c r="C37" i="1"/>
  <c r="E37" i="1"/>
  <c r="U37" i="1"/>
  <c r="AL37" i="1"/>
  <c r="AM37" i="1"/>
  <c r="AN37" i="1"/>
  <c r="AO37" i="1"/>
  <c r="AP37" i="1"/>
  <c r="AQ37" i="1"/>
  <c r="C33" i="3"/>
  <c r="C38" i="1"/>
  <c r="E38" i="1"/>
  <c r="U38" i="1"/>
  <c r="AL38" i="1"/>
  <c r="AM38" i="1"/>
  <c r="AN38" i="1"/>
  <c r="AO38" i="1"/>
  <c r="AP38" i="1"/>
  <c r="AQ38" i="1"/>
  <c r="C34" i="3"/>
  <c r="C39" i="1"/>
  <c r="E39" i="1"/>
  <c r="U39" i="1"/>
  <c r="AL39" i="1"/>
  <c r="AM39" i="1"/>
  <c r="AN39" i="1"/>
  <c r="AO39" i="1"/>
  <c r="AP39" i="1"/>
  <c r="AQ39" i="1"/>
  <c r="C35" i="3"/>
  <c r="C40" i="1"/>
  <c r="E40" i="1"/>
  <c r="U40" i="1"/>
  <c r="AL40" i="1"/>
  <c r="AM40" i="1"/>
  <c r="AN40" i="1"/>
  <c r="AO40" i="1"/>
  <c r="AP40" i="1"/>
  <c r="AQ40" i="1"/>
  <c r="B41" i="1"/>
  <c r="C36" i="3"/>
  <c r="C41" i="1"/>
  <c r="E41" i="1"/>
  <c r="U41" i="1"/>
  <c r="AL41" i="1"/>
  <c r="AM41" i="1"/>
  <c r="AN41" i="1"/>
  <c r="AO41" i="1"/>
  <c r="AP41" i="1"/>
  <c r="AQ41" i="1"/>
  <c r="B42" i="1"/>
  <c r="C37" i="3"/>
  <c r="C42" i="1"/>
  <c r="E42" i="1"/>
  <c r="U42" i="1"/>
  <c r="AL42" i="1"/>
  <c r="AM42" i="1"/>
  <c r="AN42" i="1"/>
  <c r="AO42" i="1"/>
  <c r="AP42" i="1"/>
  <c r="AQ42" i="1"/>
  <c r="AA15" i="3"/>
  <c r="T9" i="1"/>
  <c r="T10" i="1"/>
  <c r="AA19" i="3"/>
  <c r="AL21" i="2"/>
  <c r="AA20" i="3"/>
  <c r="AA21" i="3"/>
  <c r="AA22" i="3"/>
  <c r="AA23" i="3"/>
  <c r="AA24" i="3"/>
  <c r="AA25" i="3"/>
  <c r="AA26" i="3"/>
  <c r="AA27" i="3"/>
  <c r="AA28" i="3"/>
  <c r="AA29" i="3"/>
  <c r="AA30" i="3"/>
  <c r="AA31" i="3"/>
  <c r="AA32" i="3"/>
  <c r="AA33" i="3"/>
  <c r="AA34" i="3"/>
  <c r="AA35" i="3"/>
  <c r="AA36" i="3"/>
  <c r="AA37" i="3"/>
  <c r="AQ20" i="2"/>
  <c r="AQ21" i="2"/>
  <c r="AQ22" i="2"/>
  <c r="AQ23" i="2"/>
  <c r="AQ24" i="2"/>
  <c r="AQ25" i="2"/>
  <c r="AQ26" i="2"/>
  <c r="AQ27" i="2"/>
  <c r="AQ28" i="2"/>
  <c r="AQ29" i="2"/>
  <c r="AQ30" i="2"/>
  <c r="AQ31" i="2"/>
  <c r="AQ32" i="2"/>
  <c r="AQ33" i="2"/>
  <c r="AQ39" i="2"/>
  <c r="AL24" i="2"/>
  <c r="AL25" i="2"/>
  <c r="AL26" i="2"/>
  <c r="AL27" i="2"/>
  <c r="AL29" i="2"/>
  <c r="AL30" i="2"/>
  <c r="AL32" i="2"/>
  <c r="AL39" i="2"/>
  <c r="AA7" i="3"/>
  <c r="AA8" i="3"/>
  <c r="AA9" i="3"/>
  <c r="AA10" i="3"/>
  <c r="AA13" i="3"/>
  <c r="AA14" i="3"/>
  <c r="AA16" i="3"/>
  <c r="AA17" i="3"/>
  <c r="AA18" i="3"/>
  <c r="AA6" i="3"/>
  <c r="R11" i="6"/>
  <c r="C7" i="3"/>
  <c r="C12" i="1"/>
  <c r="C13" i="1"/>
  <c r="C9" i="3"/>
  <c r="C14" i="1"/>
  <c r="C10" i="3"/>
  <c r="C15" i="1"/>
  <c r="C16" i="1"/>
  <c r="C17" i="1"/>
  <c r="C13" i="3"/>
  <c r="C18" i="1"/>
  <c r="C14" i="3"/>
  <c r="C19" i="1"/>
  <c r="C6" i="3"/>
  <c r="C11" i="1"/>
  <c r="B6" i="3"/>
  <c r="B11" i="1"/>
  <c r="J8" i="1"/>
  <c r="N8" i="1"/>
  <c r="R19" i="6"/>
  <c r="R18" i="6"/>
  <c r="R17" i="6"/>
  <c r="R16" i="6"/>
  <c r="R15" i="6"/>
  <c r="R14" i="6"/>
  <c r="R13" i="6"/>
  <c r="R12" i="6"/>
  <c r="B8" i="3"/>
  <c r="B13" i="6"/>
  <c r="B7" i="3"/>
  <c r="B12" i="6"/>
  <c r="B11" i="6"/>
  <c r="G9" i="6"/>
  <c r="P7" i="2"/>
  <c r="AQ18" i="2"/>
  <c r="AQ19" i="2"/>
  <c r="H29" i="5"/>
  <c r="H30" i="5"/>
  <c r="G29" i="5"/>
  <c r="G30" i="5"/>
  <c r="AO7" i="2"/>
  <c r="AP7" i="2"/>
  <c r="AQ7" i="2"/>
  <c r="AQ16" i="2"/>
  <c r="AQ15" i="2"/>
  <c r="AQ14" i="2"/>
  <c r="AQ13" i="2"/>
  <c r="AQ12" i="2"/>
  <c r="AQ11" i="2"/>
  <c r="AQ10" i="2"/>
  <c r="AQ9" i="2"/>
  <c r="AQ8" i="2"/>
  <c r="B9" i="5"/>
  <c r="B15" i="1"/>
  <c r="L7" i="5"/>
  <c r="Q7" i="5"/>
  <c r="C9" i="5"/>
  <c r="L9" i="5"/>
  <c r="Q9" i="5"/>
  <c r="AN13" i="1"/>
  <c r="H9" i="5"/>
  <c r="G9" i="5"/>
  <c r="BA8" i="1"/>
  <c r="BB8" i="1"/>
  <c r="BC8" i="1"/>
  <c r="BD8" i="1"/>
  <c r="AT8" i="1"/>
  <c r="AV8" i="1"/>
  <c r="AW8" i="1"/>
  <c r="AX8" i="1"/>
  <c r="AL12" i="1"/>
  <c r="AL11" i="1"/>
  <c r="AL14" i="1"/>
  <c r="AL15" i="1"/>
  <c r="AL16" i="1"/>
  <c r="AL17" i="1"/>
  <c r="AL18" i="1"/>
  <c r="AL19" i="1"/>
  <c r="AM11" i="1"/>
  <c r="AM13" i="1"/>
  <c r="AM14" i="1"/>
  <c r="AM15" i="1"/>
  <c r="AM16" i="1"/>
  <c r="AM17" i="1"/>
  <c r="AM18" i="1"/>
  <c r="AM19" i="1"/>
  <c r="AN12" i="1"/>
  <c r="AN11" i="1"/>
  <c r="AN14" i="1"/>
  <c r="AN15" i="1"/>
  <c r="AN16" i="1"/>
  <c r="AN17" i="1"/>
  <c r="AN18" i="1"/>
  <c r="AN19" i="1"/>
  <c r="AO12" i="1"/>
  <c r="AO11" i="1"/>
  <c r="AO13" i="1"/>
  <c r="AO14" i="1"/>
  <c r="AO15" i="1"/>
  <c r="AO16" i="1"/>
  <c r="AO17" i="1"/>
  <c r="AO18" i="1"/>
  <c r="AO19" i="1"/>
  <c r="AP12" i="1"/>
  <c r="AP11" i="1"/>
  <c r="AP13" i="1"/>
  <c r="AP14" i="1"/>
  <c r="AP15" i="1"/>
  <c r="AP16" i="1"/>
  <c r="AP17" i="1"/>
  <c r="AP18" i="1"/>
  <c r="AP19" i="1"/>
  <c r="AQ14" i="1"/>
  <c r="AQ15" i="1"/>
  <c r="AQ16" i="1"/>
  <c r="AQ17" i="1"/>
  <c r="AQ18" i="1"/>
  <c r="AQ19" i="1"/>
  <c r="AL8" i="2"/>
  <c r="AL11" i="2"/>
  <c r="AL12" i="2"/>
  <c r="G7" i="2"/>
  <c r="I7" i="2"/>
  <c r="K7" i="2"/>
  <c r="L7" i="2"/>
  <c r="N7" i="2"/>
  <c r="V7" i="2"/>
  <c r="W7" i="2"/>
  <c r="X7" i="2"/>
  <c r="Y7" i="2"/>
  <c r="AG7" i="2"/>
  <c r="AI7" i="2"/>
  <c r="AJ7" i="2"/>
  <c r="AC8" i="1"/>
  <c r="AD8" i="1"/>
  <c r="AE8" i="1"/>
  <c r="AF8" i="1"/>
  <c r="AG8" i="1"/>
  <c r="AH8" i="1"/>
  <c r="AI8" i="1"/>
  <c r="AJ8" i="1"/>
  <c r="AL8" i="1"/>
  <c r="AM8" i="1"/>
  <c r="AN8" i="1"/>
  <c r="AO8" i="1"/>
  <c r="AP8" i="1"/>
  <c r="AQ8" i="1"/>
  <c r="AS8" i="1"/>
  <c r="AZ8" i="1"/>
  <c r="E11" i="1"/>
  <c r="P8" i="1"/>
  <c r="O8" i="1"/>
  <c r="K8" i="1"/>
  <c r="H8" i="1"/>
  <c r="G8" i="1"/>
  <c r="E12" i="1"/>
  <c r="E8" i="1"/>
  <c r="B12" i="1"/>
  <c r="B13" i="1"/>
  <c r="B16" i="1"/>
  <c r="B17" i="1"/>
  <c r="B18" i="1"/>
  <c r="B19" i="1"/>
  <c r="I6" i="3"/>
  <c r="B41" i="2"/>
  <c r="C41" i="2"/>
  <c r="D41" i="2"/>
  <c r="G41" i="2"/>
  <c r="I41" i="2"/>
  <c r="J41" i="2"/>
  <c r="K41" i="2"/>
  <c r="L41" i="2"/>
  <c r="M41" i="2"/>
  <c r="N41" i="2"/>
  <c r="O41" i="2"/>
  <c r="P41" i="2"/>
  <c r="Q41" i="2"/>
  <c r="T41" i="2"/>
  <c r="U41" i="2"/>
  <c r="V41" i="2"/>
  <c r="W41" i="2"/>
  <c r="X41" i="2"/>
  <c r="Y41" i="2"/>
  <c r="Z41" i="2"/>
  <c r="AA41" i="2"/>
  <c r="AB41" i="2"/>
  <c r="AC41" i="2"/>
  <c r="AD41" i="2"/>
  <c r="AE41" i="2"/>
  <c r="AF41" i="2"/>
  <c r="AG41" i="2"/>
  <c r="AH41" i="2"/>
  <c r="AI41" i="2"/>
  <c r="AJ41" i="2"/>
  <c r="AK41" i="2"/>
  <c r="AL41" i="2"/>
  <c r="AM41" i="2"/>
  <c r="K37" i="5"/>
  <c r="J37" i="5"/>
  <c r="I37" i="5"/>
  <c r="S9" i="5"/>
  <c r="Q13" i="5"/>
  <c r="S13" i="5"/>
  <c r="Q15" i="5"/>
  <c r="S15" i="5"/>
  <c r="Q19" i="5"/>
  <c r="S19" i="5"/>
  <c r="S34" i="5"/>
  <c r="J9" i="5"/>
  <c r="H13" i="5"/>
  <c r="J13" i="5"/>
  <c r="H15" i="5"/>
  <c r="G15" i="5"/>
  <c r="J15" i="5"/>
  <c r="H19" i="5"/>
  <c r="J19" i="5"/>
  <c r="J34" i="5"/>
  <c r="S35" i="5"/>
  <c r="L3" i="5"/>
  <c r="Q3" i="5"/>
  <c r="R3" i="5"/>
  <c r="L5" i="5"/>
  <c r="Q5" i="5"/>
  <c r="R5" i="5"/>
  <c r="R7" i="5"/>
  <c r="L11" i="5"/>
  <c r="Q11" i="5"/>
  <c r="R11" i="5"/>
  <c r="Q17" i="5"/>
  <c r="R17" i="5"/>
  <c r="Q21" i="5"/>
  <c r="R21" i="5"/>
  <c r="Q23" i="5"/>
  <c r="R23" i="5"/>
  <c r="Q25" i="5"/>
  <c r="R25" i="5"/>
  <c r="Q27" i="5"/>
  <c r="R27" i="5"/>
  <c r="Q31" i="5"/>
  <c r="R31" i="5"/>
  <c r="R34" i="5"/>
  <c r="I3" i="5"/>
  <c r="I5" i="5"/>
  <c r="I7" i="5"/>
  <c r="I11" i="5"/>
  <c r="G17" i="5"/>
  <c r="I17" i="5"/>
  <c r="I21" i="5"/>
  <c r="I23" i="5"/>
  <c r="I25" i="5"/>
  <c r="I27" i="5"/>
  <c r="I29" i="5"/>
  <c r="H31" i="5"/>
  <c r="G31" i="5"/>
  <c r="I31" i="5"/>
  <c r="I34" i="5"/>
  <c r="R35" i="5"/>
  <c r="Q29" i="5"/>
  <c r="Q34" i="5"/>
  <c r="B34" i="5"/>
  <c r="C34" i="5"/>
  <c r="D34" i="5"/>
  <c r="E34" i="5"/>
  <c r="F34" i="5"/>
  <c r="F35" i="5"/>
  <c r="Q35" i="5"/>
  <c r="K34" i="5"/>
  <c r="K35" i="5"/>
  <c r="J35" i="5"/>
  <c r="I35" i="5"/>
  <c r="H21" i="5"/>
  <c r="G21" i="5"/>
  <c r="H23" i="5"/>
  <c r="G23" i="5"/>
  <c r="H25" i="5"/>
  <c r="G25" i="5"/>
  <c r="H27" i="5"/>
  <c r="G27" i="5"/>
  <c r="G34" i="5"/>
  <c r="H11" i="5"/>
  <c r="H34" i="5"/>
  <c r="T34" i="5"/>
  <c r="O13" i="5"/>
  <c r="N13" i="5"/>
  <c r="J7" i="2"/>
  <c r="N18" i="4"/>
  <c r="O18" i="4"/>
  <c r="N11" i="4"/>
  <c r="I11" i="4"/>
  <c r="I10" i="4"/>
  <c r="O9" i="4"/>
  <c r="N8" i="4"/>
  <c r="O8" i="4"/>
  <c r="N7" i="4"/>
  <c r="O7" i="4"/>
  <c r="N6" i="4"/>
  <c r="O6" i="4"/>
  <c r="O5" i="4"/>
  <c r="AB8" i="1"/>
  <c r="H35" i="5"/>
  <c r="AO9" i="1"/>
  <c r="AN9" i="1"/>
  <c r="AP9" i="1"/>
  <c r="AX9" i="1"/>
  <c r="BA9" i="1"/>
  <c r="AE9" i="1"/>
  <c r="AW9" i="1"/>
  <c r="AF7" i="2"/>
  <c r="AG9" i="1"/>
  <c r="AC9" i="1"/>
  <c r="AB9" i="1"/>
  <c r="AQ11" i="1"/>
  <c r="AQ13" i="1"/>
  <c r="AQ12" i="1"/>
  <c r="AM12" i="1"/>
  <c r="AM9" i="1"/>
  <c r="AL13" i="1"/>
  <c r="AL9" i="1"/>
  <c r="AZ9" i="1"/>
  <c r="AD9" i="1"/>
  <c r="AF9" i="1"/>
  <c r="M7" i="2"/>
  <c r="AI9" i="1"/>
  <c r="AV9" i="1"/>
  <c r="AQ9" i="1"/>
  <c r="AH9" i="1"/>
  <c r="AJ9" i="1"/>
  <c r="O7" i="2"/>
  <c r="BB9" i="1"/>
  <c r="BD9" i="1"/>
  <c r="BC9" i="1"/>
  <c r="U15" i="1"/>
  <c r="U19" i="1"/>
  <c r="U17" i="1"/>
  <c r="U11" i="1"/>
  <c r="U16" i="1"/>
  <c r="U18" i="1"/>
  <c r="U12" i="1"/>
  <c r="U13" i="1"/>
  <c r="U14" i="1"/>
  <c r="AK7" i="2"/>
  <c r="AM7" i="2"/>
  <c r="AL7" i="2"/>
  <c r="Q7" i="2"/>
  <c r="AE7" i="2"/>
  <c r="U7" i="2"/>
  <c r="Z7" i="2"/>
  <c r="AC7" i="2"/>
  <c r="AT9" i="1"/>
  <c r="AB7" i="2"/>
  <c r="AS9" i="1"/>
</calcChain>
</file>

<file path=xl/comments1.xml><?xml version="1.0" encoding="utf-8"?>
<comments xmlns="http://schemas.openxmlformats.org/spreadsheetml/2006/main">
  <authors>
    <author>Wyatt Francis</author>
  </authors>
  <commentList>
    <comment ref="E9" authorId="0">
      <text>
        <r>
          <rPr>
            <b/>
            <sz val="9"/>
            <color indexed="81"/>
            <rFont val="Calibri"/>
            <family val="2"/>
          </rPr>
          <t>Wyatt Francis:</t>
        </r>
        <r>
          <rPr>
            <sz val="9"/>
            <color indexed="81"/>
            <rFont val="Calibri"/>
            <family val="2"/>
          </rPr>
          <t xml:space="preserve">
Maybe
</t>
        </r>
      </text>
    </comment>
    <comment ref="E10" authorId="0">
      <text>
        <r>
          <rPr>
            <b/>
            <sz val="9"/>
            <color indexed="81"/>
            <rFont val="Calibri"/>
            <family val="2"/>
          </rPr>
          <t>Wyatt Francis:</t>
        </r>
        <r>
          <rPr>
            <sz val="9"/>
            <color indexed="81"/>
            <rFont val="Calibri"/>
            <family val="2"/>
          </rPr>
          <t xml:space="preserve">
Maybe
</t>
        </r>
      </text>
    </comment>
    <comment ref="E14" authorId="0">
      <text>
        <r>
          <rPr>
            <b/>
            <sz val="9"/>
            <color indexed="81"/>
            <rFont val="Calibri"/>
            <family val="2"/>
          </rPr>
          <t>Wyatt Francis:</t>
        </r>
        <r>
          <rPr>
            <sz val="9"/>
            <color indexed="81"/>
            <rFont val="Calibri"/>
            <family val="2"/>
          </rPr>
          <t xml:space="preserve">
Maybe
</t>
        </r>
      </text>
    </comment>
    <comment ref="E20" authorId="0">
      <text>
        <r>
          <rPr>
            <b/>
            <sz val="9"/>
            <color indexed="81"/>
            <rFont val="Calibri"/>
            <family val="2"/>
          </rPr>
          <t>Wyatt Francis:</t>
        </r>
        <r>
          <rPr>
            <sz val="9"/>
            <color indexed="81"/>
            <rFont val="Calibri"/>
            <family val="2"/>
          </rPr>
          <t xml:space="preserve">
Maybe
</t>
        </r>
      </text>
    </comment>
  </commentList>
</comments>
</file>

<file path=xl/comments2.xml><?xml version="1.0" encoding="utf-8"?>
<comments xmlns="http://schemas.openxmlformats.org/spreadsheetml/2006/main">
  <authors>
    <author>Gillian Eaton</author>
    <author>Jim Massie</author>
  </authors>
  <commentList>
    <comment ref="I6" authorId="0">
      <text>
        <r>
          <rPr>
            <b/>
            <sz val="10"/>
            <color indexed="81"/>
            <rFont val="Tahoma"/>
            <family val="2"/>
          </rPr>
          <t>Gillian Eaton:</t>
        </r>
        <r>
          <rPr>
            <sz val="10"/>
            <color indexed="81"/>
            <rFont val="Tahoma"/>
            <family val="2"/>
          </rPr>
          <t xml:space="preserve">
Includes costs for adminstration, marketing, reporting, etc.</t>
        </r>
      </text>
    </comment>
    <comment ref="M6" authorId="0">
      <text>
        <r>
          <rPr>
            <b/>
            <sz val="8"/>
            <color indexed="81"/>
            <rFont val="Tahoma"/>
            <family val="2"/>
          </rPr>
          <t>Gillian Eaton:</t>
        </r>
        <r>
          <rPr>
            <sz val="8"/>
            <color indexed="81"/>
            <rFont val="Tahoma"/>
            <family val="2"/>
          </rPr>
          <t xml:space="preserve">
Full Societal Costs (includes measure costs and additional program costs)</t>
        </r>
      </text>
    </comment>
    <comment ref="O6" authorId="0">
      <text>
        <r>
          <rPr>
            <b/>
            <sz val="8"/>
            <color indexed="81"/>
            <rFont val="Tahoma"/>
            <family val="2"/>
          </rPr>
          <t>Gillian Eaton:</t>
        </r>
        <r>
          <rPr>
            <sz val="8"/>
            <color indexed="81"/>
            <rFont val="Tahoma"/>
            <family val="2"/>
          </rPr>
          <t xml:space="preserve">
Total societal benefits minus total societal costs</t>
        </r>
      </text>
    </comment>
    <comment ref="P6" authorId="0">
      <text>
        <r>
          <rPr>
            <b/>
            <sz val="8"/>
            <color indexed="81"/>
            <rFont val="Tahoma"/>
            <family val="2"/>
          </rPr>
          <t>Gillian Eaton:</t>
        </r>
        <r>
          <rPr>
            <sz val="8"/>
            <color indexed="81"/>
            <rFont val="Tahoma"/>
            <family val="2"/>
          </rPr>
          <t xml:space="preserve">
includes all GMP costs for incentives and non-incentive costs</t>
        </r>
      </text>
    </comment>
    <comment ref="Q6" authorId="1">
      <text>
        <r>
          <rPr>
            <b/>
            <sz val="9"/>
            <color indexed="81"/>
            <rFont val="Tahoma"/>
            <family val="2"/>
          </rPr>
          <t>Jim Massie:</t>
        </r>
        <r>
          <rPr>
            <sz val="9"/>
            <color indexed="81"/>
            <rFont val="Tahoma"/>
            <family val="2"/>
          </rPr>
          <t xml:space="preserve">
must be at least 1.2
</t>
        </r>
      </text>
    </comment>
    <comment ref="AO6" authorId="0">
      <text>
        <r>
          <rPr>
            <b/>
            <sz val="8"/>
            <color indexed="81"/>
            <rFont val="Tahoma"/>
            <family val="2"/>
          </rPr>
          <t>Gillian Eaton:</t>
        </r>
        <r>
          <rPr>
            <sz val="8"/>
            <color indexed="81"/>
            <rFont val="Tahoma"/>
            <family val="2"/>
          </rPr>
          <t xml:space="preserve">
Total societal benefits minus total societal costs</t>
        </r>
      </text>
    </comment>
    <comment ref="AP6" authorId="0">
      <text>
        <r>
          <rPr>
            <b/>
            <sz val="8"/>
            <color indexed="81"/>
            <rFont val="Tahoma"/>
            <family val="2"/>
          </rPr>
          <t>Gillian Eaton:</t>
        </r>
        <r>
          <rPr>
            <sz val="8"/>
            <color indexed="81"/>
            <rFont val="Tahoma"/>
            <family val="2"/>
          </rPr>
          <t xml:space="preserve">
includes all GMP costs for incentives and non-incentive costs</t>
        </r>
      </text>
    </comment>
    <comment ref="AQ6" authorId="1">
      <text>
        <r>
          <rPr>
            <b/>
            <sz val="9"/>
            <color indexed="81"/>
            <rFont val="Tahoma"/>
            <family val="2"/>
          </rPr>
          <t>Jim Massie:</t>
        </r>
        <r>
          <rPr>
            <sz val="9"/>
            <color indexed="81"/>
            <rFont val="Tahoma"/>
            <family val="2"/>
          </rPr>
          <t xml:space="preserve">
must be at least 1.2
</t>
        </r>
      </text>
    </comment>
  </commentList>
</comments>
</file>

<file path=xl/sharedStrings.xml><?xml version="1.0" encoding="utf-8"?>
<sst xmlns="http://schemas.openxmlformats.org/spreadsheetml/2006/main" count="481" uniqueCount="291">
  <si>
    <t>GMP CEED Funding Proposal Comparison</t>
  </si>
  <si>
    <t>Initiative #</t>
  </si>
  <si>
    <t>Proposed Initiative</t>
  </si>
  <si>
    <t>Total Score</t>
  </si>
  <si>
    <t>Residential</t>
  </si>
  <si>
    <t>Program 
(Non-Incentive) Costs</t>
  </si>
  <si>
    <r>
      <t>PV of Societal Non-Incentive (</t>
    </r>
    <r>
      <rPr>
        <b/>
        <u/>
        <sz val="11"/>
        <color theme="1"/>
        <rFont val="Calibri"/>
        <family val="2"/>
        <scheme val="minor"/>
      </rPr>
      <t>Program</t>
    </r>
    <r>
      <rPr>
        <b/>
        <sz val="11"/>
        <color theme="1"/>
        <rFont val="Calibri"/>
        <family val="2"/>
        <scheme val="minor"/>
      </rPr>
      <t>) Costs</t>
    </r>
  </si>
  <si>
    <r>
      <t>PV of Societal (</t>
    </r>
    <r>
      <rPr>
        <b/>
        <u/>
        <sz val="11"/>
        <rFont val="Calibri"/>
        <family val="2"/>
        <scheme val="minor"/>
      </rPr>
      <t>Measure</t>
    </r>
    <r>
      <rPr>
        <b/>
        <sz val="11"/>
        <rFont val="Calibri"/>
        <family val="2"/>
        <scheme val="minor"/>
      </rPr>
      <t xml:space="preserve">) Costs </t>
    </r>
  </si>
  <si>
    <r>
      <t xml:space="preserve">PV of Societal (Program &amp; Measure) </t>
    </r>
    <r>
      <rPr>
        <b/>
        <u/>
        <sz val="11"/>
        <color theme="1"/>
        <rFont val="Calibri"/>
        <family val="2"/>
        <scheme val="minor"/>
      </rPr>
      <t>Costs</t>
    </r>
  </si>
  <si>
    <r>
      <t xml:space="preserve">PV of Societal (Measure) </t>
    </r>
    <r>
      <rPr>
        <b/>
        <u/>
        <sz val="11"/>
        <rFont val="Calibri"/>
        <family val="2"/>
        <scheme val="minor"/>
      </rPr>
      <t>Benefits</t>
    </r>
  </si>
  <si>
    <t>Net 
Societal 
Benefits</t>
  </si>
  <si>
    <t>GMP Investment</t>
  </si>
  <si>
    <t>GMP NSB Ratio</t>
  </si>
  <si>
    <t>&lt;BLANK&gt;</t>
  </si>
  <si>
    <t>Proposed Iniative</t>
  </si>
  <si>
    <t>Initiatives</t>
  </si>
  <si>
    <t>Net Societal Benefits (NSB)</t>
  </si>
  <si>
    <t>Budgets</t>
  </si>
  <si>
    <t>Total</t>
  </si>
  <si>
    <t>Electric</t>
  </si>
  <si>
    <t>Thermal</t>
  </si>
  <si>
    <t>INPUT CELL</t>
  </si>
  <si>
    <t>Commercial</t>
  </si>
  <si>
    <t>Industrial</t>
  </si>
  <si>
    <t>NSB</t>
  </si>
  <si>
    <t>Proposal Name</t>
  </si>
  <si>
    <t>Implementor</t>
  </si>
  <si>
    <t>Contact Person</t>
  </si>
  <si>
    <t>Partners</t>
  </si>
  <si>
    <t>Description</t>
  </si>
  <si>
    <t>New or Existing Program</t>
  </si>
  <si>
    <t>Completion Date</t>
  </si>
  <si>
    <t>Benefit Period</t>
  </si>
  <si>
    <t>Total Investment</t>
  </si>
  <si>
    <t>NSB $ Estimate</t>
  </si>
  <si>
    <t>NSB Ratio Estimate</t>
  </si>
  <si>
    <t>But/For Evidence</t>
  </si>
  <si>
    <t>Direct Customer Incentives</t>
  </si>
  <si>
    <t>Admninistrative Costs</t>
  </si>
  <si>
    <t>Customer / Admin Ratio</t>
  </si>
  <si>
    <t>Participant Costs</t>
  </si>
  <si>
    <t>Next Generation Home Energy Retrofits</t>
  </si>
  <si>
    <t>One Change Foundation</t>
  </si>
  <si>
    <t>Chris Granda          (802) 922-7005        granda@grasteu.com</t>
  </si>
  <si>
    <t>NeighborWorks of Western Vermont</t>
  </si>
  <si>
    <t>Generate 400 completed home energy retrofits in Addison, Bennington, Windham and Windsor Counties.  Will build on existing program delivery infrastructure to meet the CEED NSB requirements, and also explore potential for new program design</t>
  </si>
  <si>
    <t>New, but as extension of current program</t>
  </si>
  <si>
    <t>20 years</t>
  </si>
  <si>
    <t>$1M</t>
  </si>
  <si>
    <t>$2.8M</t>
  </si>
  <si>
    <t>"Thermal efficiency funding is very tight in Vermont."  HEAT Squad's ARRA funding expires August, 2013.</t>
  </si>
  <si>
    <t>$2.7M</t>
  </si>
  <si>
    <t>Condominium Efficiency Initiative</t>
  </si>
  <si>
    <t>Shelter Analytics</t>
  </si>
  <si>
    <t>Bret Hamilton               802‐858‐4420 x12         bret@shelteranalytics.com</t>
  </si>
  <si>
    <t>Energy Futures Group</t>
  </si>
  <si>
    <t>Deliver an innovative suite of outreach activities, home energy inspections and
technical assistance services that result in both direct install and comprehensive efficiency retrofit
activities in residential condominiums in CVPS legacy territory.  300 homeowner energy inspections, 200 units receive DI measures, 90 units install thermal efficiency measures</t>
  </si>
  <si>
    <t>New</t>
  </si>
  <si>
    <t>5-30 years</t>
  </si>
  <si>
    <t>Targetd customer segment is currently under-served</t>
  </si>
  <si>
    <t>MyHouse Energy Efficiency Retrofits</t>
  </si>
  <si>
    <t>Market-based approach to transform the home energy retrofit
market towards an enterprise approach to efficiency upgrades. 155 home energy and comfort inspections with DI, manage 40 thermal efficiency projects</t>
  </si>
  <si>
    <t>New, using existing MyHouse™ model</t>
  </si>
  <si>
    <t>Not clear from proposal</t>
  </si>
  <si>
    <t>Delivery mechanisms not yet applied outside MyHouse
customers</t>
  </si>
  <si>
    <t>Commercial Energy Outreach</t>
  </si>
  <si>
    <t>Common Sense Energy</t>
  </si>
  <si>
    <t>Allan Bullis                          802‐238‐2123
EnergyAl@CSEnergy.com</t>
  </si>
  <si>
    <t>Shelter Analytics, EnSave, David Grimason Associates, Vermont
Building Performance Professional Association (BPPA)</t>
  </si>
  <si>
    <t>400 Energy efficiency assessments (“audits”)
400 5‐year energy efficiency plans including purchasing and maintenance guidelines
540 Spring/fall energy maintenance service/training visits
200 Sites will receive DI measures
200 Sites will install prescriptive or custom energy efficiency measures</t>
  </si>
  <si>
    <t>Targeting underserved and hard‐to‐reach commercial customers,
providing efficiency contractor cross training in new markets</t>
  </si>
  <si>
    <t>Sunward Systems</t>
  </si>
  <si>
    <t>Tom Hughes                            877‐803‐2480           thughes@gosunward.com</t>
  </si>
  <si>
    <t>Incentivize the 200 customers to purchase and installation of solar hot water systems improve the thermal efficiency of participants’ home and businesses, avoid the costs of electric production and distribution, and improve the local economy by 
deploying Vermont‐manufactured equipment installed by local companies.                               Includes on-bill credits plus cash incentives</t>
  </si>
  <si>
    <t>New, combining several existing programs</t>
  </si>
  <si>
    <t>not provided</t>
  </si>
  <si>
    <t>“But for” the proposed on-bill credit, these
customers would not  invest in a solar hot water system</t>
  </si>
  <si>
    <t>Not shown in budget, but proposal suggests $280,000</t>
  </si>
  <si>
    <t>Electric - Business Retrofits</t>
  </si>
  <si>
    <t>VEIC</t>
  </si>
  <si>
    <t>Jim Massie                        (802) 540-7750           jmassie@veic.org</t>
  </si>
  <si>
    <t>GMP invests in the Efficiency Vermont Business Existing Facilities (BEF) program and then a share of the eligible program costs and benefits are allocated to GMP CEED</t>
  </si>
  <si>
    <t>Existing, w/ new renewable component</t>
  </si>
  <si>
    <t>10-20 years</t>
  </si>
  <si>
    <t>?</t>
  </si>
  <si>
    <t>Additional funding will allow more projects and
greater savings than would happen with only EVT resources. A comparable effort for the past 5 years is ending in 2012</t>
  </si>
  <si>
    <t>Electric - EverGreen Fund</t>
  </si>
  <si>
    <t>Expand the existing EverGreen Revolving Loan Fund, to provide interest free capital for investment in energy efficiency projects in K-12 and extend to municipalities</t>
  </si>
  <si>
    <t>Existing</t>
  </si>
  <si>
    <t>$1,300,000 loan capitalization</t>
  </si>
  <si>
    <t>Electric - Ductless Heat Pumps</t>
  </si>
  <si>
    <t>NeighborWorks of Western Vermont, Energy Futures Group, High Meadows Fund, Vermont Fuel Dealers Association</t>
  </si>
  <si>
    <t>Install high-efficiency, low operating cost heating and cooling equipment in thermally-efficient homes and small businesses, powered by on-site renewables or the electric grid</t>
  </si>
  <si>
    <t>18 years</t>
  </si>
  <si>
    <t>Currently no organized effort to encourage deep penetration of this technology in Vermont.</t>
  </si>
  <si>
    <t>Electric - Farm Direct Installation</t>
  </si>
  <si>
    <t>Direct installation of compact fluorescent light bulbs (CFLs) in the
agricultural sector (farm operation buildings and farm houses)</t>
  </si>
  <si>
    <t>14 years</t>
  </si>
  <si>
    <t>Thermal - Fuel Dealer Development</t>
  </si>
  <si>
    <t>VT Fuel Dealers Association, Energy Futures Group, High Meadows Fund</t>
  </si>
  <si>
    <t>Help heating service providers to become qualified to offer and promote thermal energy efficiency services</t>
  </si>
  <si>
    <t>Work with local and regional partners to deliver increased community-based marketing including paid community outreach
coordinators to organize approaches such as workshops, event appearances, home energy visits, door-to-door campaigns, home energy parties, and displays at local events</t>
  </si>
  <si>
    <t>Agricultural Energy Initiative</t>
  </si>
  <si>
    <t>Vermont Agency of Agriculture, Food, and Markets</t>
  </si>
  <si>
    <t>Alex DePillis                         (802) 505-3067            Alex.DePillis@State.VT.US</t>
  </si>
  <si>
    <t xml:space="preserve">• Biomass heating of greenhouses
• Installation of solar panels on barns
• Feasibility assessment and construction of one or more manure digesters on dairy farm(s) having fewer than 300 cows
</t>
  </si>
  <si>
    <t>$10M</t>
  </si>
  <si>
    <t>The Agency intends to “kick start” three new market segments</t>
  </si>
  <si>
    <t>CEED1</t>
  </si>
  <si>
    <t>CEED2</t>
  </si>
  <si>
    <t>CEED3</t>
  </si>
  <si>
    <t>CEED4</t>
  </si>
  <si>
    <t>CEED5</t>
  </si>
  <si>
    <t>CEED6</t>
  </si>
  <si>
    <t>CEED7</t>
  </si>
  <si>
    <t>CEED8</t>
  </si>
  <si>
    <t>CEED9</t>
  </si>
  <si>
    <t>CEED10</t>
  </si>
  <si>
    <t>CEED11</t>
  </si>
  <si>
    <t>CEED12</t>
  </si>
  <si>
    <t>CEED13</t>
  </si>
  <si>
    <t>CEED14</t>
  </si>
  <si>
    <t>CEED15</t>
  </si>
  <si>
    <t>CEED16</t>
  </si>
  <si>
    <t>CEED17</t>
  </si>
  <si>
    <t>CEED18</t>
  </si>
  <si>
    <t>CEED19</t>
  </si>
  <si>
    <t>CEED20</t>
  </si>
  <si>
    <t>CEED21</t>
  </si>
  <si>
    <t>CEED22</t>
  </si>
  <si>
    <t>CEED23</t>
  </si>
  <si>
    <t>CEED24</t>
  </si>
  <si>
    <t>CEED25</t>
  </si>
  <si>
    <t>CEED26</t>
  </si>
  <si>
    <t>CEED27</t>
  </si>
  <si>
    <t>CEED28</t>
  </si>
  <si>
    <t>CEED29</t>
  </si>
  <si>
    <t>CEED30</t>
  </si>
  <si>
    <t>Proposer</t>
  </si>
  <si>
    <t>Investment Leverage</t>
  </si>
  <si>
    <t>Participant Investment</t>
  </si>
  <si>
    <t>% GMP Investment Leveraged</t>
  </si>
  <si>
    <t>Program</t>
  </si>
  <si>
    <t>Res</t>
  </si>
  <si>
    <t>Com</t>
  </si>
  <si>
    <t>Ind</t>
  </si>
  <si>
    <t>NSB/Inv</t>
  </si>
  <si>
    <t>Renewable</t>
  </si>
  <si>
    <t>One Change</t>
  </si>
  <si>
    <t>Condo</t>
  </si>
  <si>
    <t>MyHouse</t>
  </si>
  <si>
    <t>Coom Dir,Beh,Workforce</t>
  </si>
  <si>
    <t>Solar Hot Water</t>
  </si>
  <si>
    <t>VEIC - Bus Retrofit</t>
  </si>
  <si>
    <t>VEIC - Evergreen</t>
  </si>
  <si>
    <t>VEIC - DHP</t>
  </si>
  <si>
    <t>VEIC Farm DI</t>
  </si>
  <si>
    <t>VEIC - HPwES</t>
  </si>
  <si>
    <t>VEIC - Building Performance</t>
  </si>
  <si>
    <t>VEIC - HPwES Flood Recovery</t>
  </si>
  <si>
    <t>VEIC - Fuel dealer Development</t>
  </si>
  <si>
    <t>VEIC - Community Outreach</t>
  </si>
  <si>
    <t xml:space="preserve"> </t>
  </si>
  <si>
    <t>TES Altherma</t>
  </si>
  <si>
    <t>Target %</t>
  </si>
  <si>
    <t>Target $</t>
  </si>
  <si>
    <t>Third-party Investment</t>
  </si>
  <si>
    <t>GMP Investement</t>
  </si>
  <si>
    <t>Total Insvestment</t>
  </si>
  <si>
    <t>Altherma Heat Pump Program</t>
  </si>
  <si>
    <t>Green Thermal Systems</t>
  </si>
  <si>
    <t>Edward Whitaker 802.584.4615 
802.371.8689 ewhitaker@tss‐ecx.com</t>
  </si>
  <si>
    <t>NSB Ratio</t>
  </si>
  <si>
    <t>% of Costs Spent on Measures</t>
  </si>
  <si>
    <t>% of GMP Funds Leveraged</t>
  </si>
  <si>
    <t>% Spending Electric</t>
  </si>
  <si>
    <t>CEED Proposer Cost &amp; Benefit Inputs</t>
  </si>
  <si>
    <t>Probability of Success in Delivering NSB</t>
  </si>
  <si>
    <t>% Res</t>
  </si>
  <si>
    <t>% Ind</t>
  </si>
  <si>
    <t>Qualification Met?</t>
  </si>
  <si>
    <t>GMP CEED Funding Proposal Comparison - Details</t>
  </si>
  <si>
    <t>Reason</t>
  </si>
  <si>
    <t>Probability (High/Med/Low)?</t>
  </si>
  <si>
    <t>High</t>
  </si>
  <si>
    <t>Low</t>
  </si>
  <si>
    <t>Yes</t>
  </si>
  <si>
    <t>High &gt; 80%
Med 20% - 60%
Low &lt; 20%</t>
  </si>
  <si>
    <t>High &gt; 200%
Med 1% - 200%
Low -  0%</t>
  </si>
  <si>
    <t>NSB Rank</t>
  </si>
  <si>
    <t>% of Highest NSB</t>
  </si>
  <si>
    <t>Med</t>
  </si>
  <si>
    <t># of Years for Project</t>
  </si>
  <si>
    <t>% of Total Spent on Measures</t>
  </si>
  <si>
    <t>% Leveraged</t>
  </si>
  <si>
    <t>High: Res &lt; 50%, Com &amp; Ind &gt; 0%
Med: Comm or Ind &gt; 0%
Low: Otherwise</t>
  </si>
  <si>
    <t>% Comm</t>
  </si>
  <si>
    <t>Too Low</t>
  </si>
  <si>
    <t>=</t>
  </si>
  <si>
    <t>Thermal - Building Performance</t>
  </si>
  <si>
    <t>Expands comprehensive
small business thermal services through funding of the Building Performance (BP) programs to serve additional buildings</t>
  </si>
  <si>
    <t>Expands comprehensive
residential  thermal services through funding of the Home Performance with ENERGY STAR (HPwES) programs to serve additional buildings and units</t>
  </si>
  <si>
    <t>Selected Portfolio Total</t>
  </si>
  <si>
    <t>Maximum Points</t>
  </si>
  <si>
    <t>% of Max</t>
  </si>
  <si>
    <t>Max points allowed</t>
  </si>
  <si>
    <t>% of Maximum</t>
  </si>
  <si>
    <t>Economically Disadvantaged Target Market</t>
  </si>
  <si>
    <t>Other Consideratios (see "Output Details")</t>
  </si>
  <si>
    <t>"But For" Test</t>
  </si>
  <si>
    <t>Scoring</t>
  </si>
  <si>
    <t>Thermal - Common Sense Energy</t>
  </si>
  <si>
    <t>NSB Test (All Years in Proposal)</t>
  </si>
  <si>
    <t>Thermal - HPwES VEIC</t>
  </si>
  <si>
    <t>Thermal - HPwES NWWVT</t>
  </si>
  <si>
    <t>NWWVT/VEIC</t>
  </si>
  <si>
    <t>Increase beyond existing budget</t>
  </si>
  <si>
    <t>NEW - NSB Ratio</t>
  </si>
  <si>
    <t>NEW - Net Societal Benefits</t>
  </si>
  <si>
    <t>Net Societal Benefits (NSB) Scale</t>
  </si>
  <si>
    <t>GMP CEED Recommended Portfolio</t>
  </si>
  <si>
    <t>Rebalanced Total</t>
  </si>
  <si>
    <t>Rebalanced Portfolio Values</t>
  </si>
  <si>
    <t>New - Thermal Spending</t>
  </si>
  <si>
    <t>New - Electric Spending</t>
  </si>
  <si>
    <t>NEW - Residential Spending</t>
  </si>
  <si>
    <t>NEW - Commercial Spending</t>
  </si>
  <si>
    <t>NEW - Industrial Spending</t>
  </si>
  <si>
    <t>New Budget as % of Original</t>
  </si>
  <si>
    <t>Comparison to Proposed Budget</t>
  </si>
  <si>
    <t>High/Med/Low</t>
  </si>
  <si>
    <t>ELECTRIC PROGRAMS</t>
  </si>
  <si>
    <t>CEED31</t>
  </si>
  <si>
    <t>Availability of Electric Benefits</t>
  </si>
  <si>
    <t>Innovativeness of Programs</t>
  </si>
  <si>
    <t>% of other Criteria Met (20% for each category to the right)</t>
  </si>
  <si>
    <t>Description of Other Unquantified Benefits (DOES NOT COUNT TOWARDS SCORE)</t>
  </si>
  <si>
    <t>CEED32</t>
  </si>
  <si>
    <t># Participants</t>
  </si>
  <si>
    <t>NEW - # Participants</t>
  </si>
  <si>
    <t># Units Installed</t>
  </si>
  <si>
    <t>Business Existing Facilities</t>
  </si>
  <si>
    <t>Thermal, Electric, or Both (T, E, B)</t>
  </si>
  <si>
    <t>Residential, Commercial or Industrial (R, C, I)</t>
  </si>
  <si>
    <t>E</t>
  </si>
  <si>
    <t>C</t>
  </si>
  <si>
    <t>Non-Electric</t>
  </si>
  <si>
    <t>Nothing like it happening now</t>
  </si>
  <si>
    <t>% Spending on Non-Electric</t>
  </si>
  <si>
    <t>Market Transformation Description</t>
  </si>
  <si>
    <t>EnSave</t>
  </si>
  <si>
    <t>B</t>
  </si>
  <si>
    <t>Note: Do the overlapping programs meet the But for test?</t>
  </si>
  <si>
    <t>Collaboration Partnership Strength or Other Stakeholder Support</t>
  </si>
  <si>
    <t>Wide Distribution of Benefits across customers</t>
  </si>
  <si>
    <t>High &gt; 2.5
Med 1.7 - 2.5
Low 1.2 - 1.7
Too Low &lt; 1.2</t>
  </si>
  <si>
    <t>ELECTRIC AND THERMAL PROGRAMS</t>
  </si>
  <si>
    <t>R</t>
  </si>
  <si>
    <t>C,I</t>
  </si>
  <si>
    <t>Enhanced Maple Sap Preheater Program</t>
  </si>
  <si>
    <t>T</t>
  </si>
  <si>
    <t>Likely would not happen without CEED money</t>
  </si>
  <si>
    <t>New approach, but solid theory</t>
  </si>
  <si>
    <t>BPPA w/ EVT measures</t>
  </si>
  <si>
    <t>yes</t>
  </si>
  <si>
    <t>Rank</t>
  </si>
  <si>
    <t>Include in Portfolio (0 = no, 1 = yes, fraction=proportional)</t>
  </si>
  <si>
    <t>THERMAL PROGRAM</t>
  </si>
  <si>
    <t>Unclear what projects will be</t>
  </si>
  <si>
    <t>NSB Test (2017)</t>
  </si>
  <si>
    <t>Participant 2017 Investment (2017$)</t>
  </si>
  <si>
    <t>Third Party 2017 Investment (2017$)</t>
  </si>
  <si>
    <t>GMP 2017 Investment</t>
  </si>
  <si>
    <t>2017 Spending by Energy Source</t>
  </si>
  <si>
    <t>2017 Spending by Sector</t>
  </si>
  <si>
    <t>Participant 2017 Investment</t>
  </si>
  <si>
    <t>Third Party 2017 Investment</t>
  </si>
  <si>
    <t>Total 2017 Investment</t>
  </si>
  <si>
    <t xml:space="preserve">2017 Spending by Energy Source </t>
  </si>
  <si>
    <t>2017 Customer Spending Distribution</t>
  </si>
  <si>
    <t>NEW - GMP 2017 Investment</t>
  </si>
  <si>
    <t>Proposed GMP 2017 Investment</t>
  </si>
  <si>
    <t>Budget Scalability Later in Year</t>
  </si>
  <si>
    <t>Scalability in Latter Part of Year (yes or leave blank)</t>
  </si>
  <si>
    <t>Other Information (yes or leave blank)</t>
  </si>
  <si>
    <t>EFG</t>
  </si>
  <si>
    <t>Residential Efficiency</t>
  </si>
  <si>
    <t>NWWVT</t>
  </si>
  <si>
    <t>ZEN</t>
  </si>
  <si>
    <t>Would the PV happen from net metering alone?</t>
  </si>
  <si>
    <t>Known technology. Successful in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</si>
</sst>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Red]\(&quot;$&quot;#,##0\)"/>
    <numFmt numFmtId="165" formatCode="_(&quot;$&quot;* #,##0.00_);_(&quot;$&quot;* \(#,##0.00\);_(&quot;$&quot;* &quot;-&quot;??_);_(@_)"/>
    <numFmt numFmtId="166" formatCode="_(* #,##0.00_);_(* \(#,##0.00\);_(* &quot;-&quot;??_);_(@_)"/>
    <numFmt numFmtId="167" formatCode="_(* #,##0.0_);_(* \(#,##0.0\);_(* &quot;-&quot;??_);_(@_)"/>
    <numFmt numFmtId="168" formatCode="_(&quot;$&quot;* #,##0_);_(&quot;$&quot;* \(#,##0\);_(&quot;$&quot;* &quot;-&quot;??_);_(@_)"/>
    <numFmt numFmtId="169" formatCode="mmm\ d\,\ yyyy;@"/>
    <numFmt numFmtId="170" formatCode="0.0"/>
    <numFmt numFmtId="171" formatCode="&quot;$&quot;#,##0"/>
    <numFmt numFmtId="172" formatCode="&quot;$&quot;#,##0.0"/>
    <numFmt numFmtId="173" formatCode="0.0%"/>
    <numFmt numFmtId="174" formatCode="_(* #,##0_);_(* \(#,##0\);_(* &quot;-&quot;??_);_(@_)"/>
  </numFmts>
  <fonts count="31" x14ac:knownFonts="1">
    <font>
      <sz val="12"/>
      <color theme="1"/>
      <name val="Calibri"/>
      <family val="2"/>
      <scheme val="minor"/>
    </font>
    <font>
      <sz val="11"/>
      <color theme="1"/>
      <name val="Calibri"/>
      <family val="2"/>
      <scheme val="minor"/>
    </font>
    <font>
      <sz val="12"/>
      <color theme="1"/>
      <name val="Calibri"/>
      <family val="2"/>
      <scheme val="minor"/>
    </font>
    <font>
      <sz val="12"/>
      <color rgb="FF3F3F76"/>
      <name val="Calibri"/>
      <family val="2"/>
      <scheme val="minor"/>
    </font>
    <font>
      <b/>
      <sz val="12"/>
      <color theme="1"/>
      <name val="Calibri"/>
      <family val="2"/>
      <scheme val="minor"/>
    </font>
    <font>
      <b/>
      <sz val="18"/>
      <color theme="1"/>
      <name val="Calibri"/>
      <family val="2"/>
      <scheme val="minor"/>
    </font>
    <font>
      <b/>
      <sz val="11"/>
      <color theme="1"/>
      <name val="Calibri"/>
      <family val="2"/>
      <scheme val="minor"/>
    </font>
    <font>
      <sz val="9"/>
      <color indexed="81"/>
      <name val="Tahoma"/>
      <family val="2"/>
    </font>
    <font>
      <u/>
      <sz val="12"/>
      <color theme="10"/>
      <name val="Calibri"/>
      <family val="2"/>
      <scheme val="minor"/>
    </font>
    <font>
      <u/>
      <sz val="12"/>
      <color theme="11"/>
      <name val="Calibri"/>
      <family val="2"/>
      <scheme val="minor"/>
    </font>
    <font>
      <b/>
      <u/>
      <sz val="11"/>
      <color theme="1"/>
      <name val="Calibri"/>
      <family val="2"/>
      <scheme val="minor"/>
    </font>
    <font>
      <b/>
      <sz val="11"/>
      <name val="Calibri"/>
      <family val="2"/>
      <scheme val="minor"/>
    </font>
    <font>
      <b/>
      <u/>
      <sz val="11"/>
      <name val="Calibri"/>
      <family val="2"/>
      <scheme val="minor"/>
    </font>
    <font>
      <b/>
      <sz val="10"/>
      <color indexed="81"/>
      <name val="Tahoma"/>
      <family val="2"/>
    </font>
    <font>
      <sz val="10"/>
      <color indexed="81"/>
      <name val="Tahoma"/>
      <family val="2"/>
    </font>
    <font>
      <b/>
      <sz val="8"/>
      <color indexed="81"/>
      <name val="Tahoma"/>
      <family val="2"/>
    </font>
    <font>
      <sz val="8"/>
      <color indexed="81"/>
      <name val="Tahoma"/>
      <family val="2"/>
    </font>
    <font>
      <b/>
      <sz val="9"/>
      <color indexed="81"/>
      <name val="Tahoma"/>
      <family val="2"/>
    </font>
    <font>
      <i/>
      <sz val="12"/>
      <color rgb="FFFF0000"/>
      <name val="Calibri"/>
      <family val="2"/>
      <scheme val="minor"/>
    </font>
    <font>
      <b/>
      <sz val="14"/>
      <name val="Calibri"/>
      <family val="2"/>
      <scheme val="minor"/>
    </font>
    <font>
      <sz val="12"/>
      <color theme="1"/>
      <name val="Arial"/>
      <family val="2"/>
    </font>
    <font>
      <b/>
      <u val="singleAccounting"/>
      <sz val="12"/>
      <color theme="1"/>
      <name val="Arial"/>
      <family val="2"/>
    </font>
    <font>
      <b/>
      <sz val="16"/>
      <color theme="1"/>
      <name val="Calibri"/>
      <family val="2"/>
      <scheme val="minor"/>
    </font>
    <font>
      <i/>
      <sz val="12"/>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b/>
      <sz val="12"/>
      <color rgb="FF3F3F76"/>
      <name val="Calibri"/>
      <family val="2"/>
      <scheme val="minor"/>
    </font>
    <font>
      <sz val="9"/>
      <color indexed="81"/>
      <name val="Calibri"/>
      <family val="2"/>
    </font>
    <font>
      <b/>
      <sz val="9"/>
      <color indexed="81"/>
      <name val="Calibri"/>
      <family val="2"/>
    </font>
    <font>
      <b/>
      <sz val="12"/>
      <color rgb="FFFF0000"/>
      <name val="Calibri"/>
      <family val="2"/>
      <scheme val="minor"/>
    </font>
  </fonts>
  <fills count="10">
    <fill>
      <patternFill patternType="none"/>
    </fill>
    <fill>
      <patternFill patternType="gray125"/>
    </fill>
    <fill>
      <patternFill patternType="solid">
        <fgColor rgb="FFFFCC99"/>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CC99"/>
        <bgColor rgb="FF000000"/>
      </patternFill>
    </fill>
  </fills>
  <borders count="86">
    <border>
      <left/>
      <right/>
      <top/>
      <bottom/>
      <diagonal/>
    </border>
    <border>
      <left style="thin">
        <color rgb="FF7F7F7F"/>
      </left>
      <right style="thin">
        <color rgb="FF7F7F7F"/>
      </right>
      <top style="thin">
        <color rgb="FF7F7F7F"/>
      </top>
      <bottom style="thin">
        <color rgb="FF7F7F7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7F7F7F"/>
      </left>
      <right style="thin">
        <color rgb="FF7F7F7F"/>
      </right>
      <top/>
      <bottom style="thin">
        <color rgb="FF7F7F7F"/>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rgb="FF7F7F7F"/>
      </right>
      <top/>
      <bottom style="thin">
        <color rgb="FF7F7F7F"/>
      </bottom>
      <diagonal/>
    </border>
    <border>
      <left style="thin">
        <color rgb="FF7F7F7F"/>
      </left>
      <right style="medium">
        <color auto="1"/>
      </right>
      <top/>
      <bottom style="thin">
        <color rgb="FF7F7F7F"/>
      </bottom>
      <diagonal/>
    </border>
    <border>
      <left style="medium">
        <color auto="1"/>
      </left>
      <right style="thin">
        <color rgb="FF7F7F7F"/>
      </right>
      <top style="thin">
        <color rgb="FF7F7F7F"/>
      </top>
      <bottom style="thin">
        <color rgb="FF7F7F7F"/>
      </bottom>
      <diagonal/>
    </border>
    <border>
      <left style="thin">
        <color rgb="FF7F7F7F"/>
      </left>
      <right style="medium">
        <color auto="1"/>
      </right>
      <top style="thin">
        <color rgb="FF7F7F7F"/>
      </top>
      <bottom style="thin">
        <color rgb="FF7F7F7F"/>
      </bottom>
      <diagonal/>
    </border>
    <border>
      <left style="medium">
        <color auto="1"/>
      </left>
      <right style="thin">
        <color rgb="FF7F7F7F"/>
      </right>
      <top style="thin">
        <color rgb="FF7F7F7F"/>
      </top>
      <bottom style="medium">
        <color auto="1"/>
      </bottom>
      <diagonal/>
    </border>
    <border>
      <left style="thin">
        <color rgb="FF7F7F7F"/>
      </left>
      <right style="thin">
        <color rgb="FF7F7F7F"/>
      </right>
      <top style="thin">
        <color rgb="FF7F7F7F"/>
      </top>
      <bottom style="medium">
        <color auto="1"/>
      </bottom>
      <diagonal/>
    </border>
    <border>
      <left style="thin">
        <color rgb="FF7F7F7F"/>
      </left>
      <right style="medium">
        <color auto="1"/>
      </right>
      <top style="thin">
        <color rgb="FF7F7F7F"/>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rgb="FF7F7F7F"/>
      </top>
      <bottom style="thin">
        <color rgb="FF7F7F7F"/>
      </bottom>
      <diagonal/>
    </border>
    <border>
      <left style="thin">
        <color auto="1"/>
      </left>
      <right style="medium">
        <color auto="1"/>
      </right>
      <top style="thin">
        <color rgb="FF7F7F7F"/>
      </top>
      <bottom style="medium">
        <color auto="1"/>
      </bottom>
      <diagonal/>
    </border>
    <border>
      <left style="thin">
        <color rgb="FF7F7F7F"/>
      </left>
      <right style="thin">
        <color rgb="FF7F7F7F"/>
      </right>
      <top style="thin">
        <color rgb="FF7F7F7F"/>
      </top>
      <bottom/>
      <diagonal/>
    </border>
    <border>
      <left/>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double">
        <color auto="1"/>
      </bottom>
      <diagonal/>
    </border>
    <border>
      <left style="medium">
        <color auto="1"/>
      </left>
      <right style="medium">
        <color auto="1"/>
      </right>
      <top/>
      <bottom style="double">
        <color auto="1"/>
      </bottom>
      <diagonal/>
    </border>
    <border>
      <left style="medium">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medium">
        <color auto="1"/>
      </right>
      <top style="thin">
        <color rgb="FF7F7F7F"/>
      </top>
      <bottom style="thin">
        <color rgb="FF7F7F7F"/>
      </bottom>
      <diagonal/>
    </border>
    <border>
      <left/>
      <right style="medium">
        <color auto="1"/>
      </right>
      <top style="thin">
        <color rgb="FF7F7F7F"/>
      </top>
      <bottom style="medium">
        <color auto="1"/>
      </bottom>
      <diagonal/>
    </border>
    <border>
      <left style="medium">
        <color auto="1"/>
      </left>
      <right style="medium">
        <color auto="1"/>
      </right>
      <top style="thin">
        <color rgb="FF7F7F7F"/>
      </top>
      <bottom style="thin">
        <color rgb="FF7F7F7F"/>
      </bottom>
      <diagonal/>
    </border>
    <border>
      <left style="medium">
        <color auto="1"/>
      </left>
      <right style="medium">
        <color auto="1"/>
      </right>
      <top style="thin">
        <color rgb="FF7F7F7F"/>
      </top>
      <bottom style="medium">
        <color auto="1"/>
      </bottom>
      <diagonal/>
    </border>
    <border>
      <left/>
      <right style="medium">
        <color auto="1"/>
      </right>
      <top/>
      <bottom style="double">
        <color auto="1"/>
      </bottom>
      <diagonal/>
    </border>
    <border>
      <left style="thin">
        <color auto="1"/>
      </left>
      <right/>
      <top style="thin">
        <color auto="1"/>
      </top>
      <bottom/>
      <diagonal/>
    </border>
    <border>
      <left style="thin">
        <color auto="1"/>
      </left>
      <right/>
      <top/>
      <bottom style="double">
        <color auto="1"/>
      </bottom>
      <diagonal/>
    </border>
    <border>
      <left/>
      <right style="thin">
        <color auto="1"/>
      </right>
      <top style="thin">
        <color auto="1"/>
      </top>
      <bottom style="double">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auto="1"/>
      </top>
      <bottom style="double">
        <color auto="1"/>
      </bottom>
      <diagonal/>
    </border>
    <border>
      <left style="medium">
        <color auto="1"/>
      </left>
      <right style="thin">
        <color rgb="FF7F7F7F"/>
      </right>
      <top style="thin">
        <color auto="1"/>
      </top>
      <bottom style="double">
        <color auto="1"/>
      </bottom>
      <diagonal/>
    </border>
    <border>
      <left style="thin">
        <color rgb="FF7F7F7F"/>
      </left>
      <right style="medium">
        <color auto="1"/>
      </right>
      <top style="thin">
        <color auto="1"/>
      </top>
      <bottom style="double">
        <color auto="1"/>
      </bottom>
      <diagonal/>
    </border>
    <border>
      <left style="thin">
        <color auto="1"/>
      </left>
      <right style="medium">
        <color auto="1"/>
      </right>
      <top/>
      <bottom style="thin">
        <color rgb="FF7F7F7F"/>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medium">
        <color auto="1"/>
      </bottom>
      <diagonal/>
    </border>
    <border>
      <left/>
      <right style="thin">
        <color auto="1"/>
      </right>
      <top style="medium">
        <color auto="1"/>
      </top>
      <bottom/>
      <diagonal/>
    </border>
    <border>
      <left/>
      <right style="thin">
        <color rgb="FF7F7F7F"/>
      </right>
      <top/>
      <bottom style="thin">
        <color rgb="FF7F7F7F"/>
      </bottom>
      <diagonal/>
    </border>
    <border>
      <left/>
      <right style="thin">
        <color rgb="FF7F7F7F"/>
      </right>
      <top style="thin">
        <color rgb="FF7F7F7F"/>
      </top>
      <bottom style="thin">
        <color rgb="FF7F7F7F"/>
      </bottom>
      <diagonal/>
    </border>
    <border>
      <left/>
      <right style="thin">
        <color rgb="FF7F7F7F"/>
      </right>
      <top style="thin">
        <color rgb="FF7F7F7F"/>
      </top>
      <bottom style="medium">
        <color auto="1"/>
      </bottom>
      <diagonal/>
    </border>
    <border>
      <left/>
      <right/>
      <top style="thin">
        <color auto="1"/>
      </top>
      <bottom/>
      <diagonal/>
    </border>
  </borders>
  <cellStyleXfs count="660">
    <xf numFmtId="0" fontId="0" fillId="0" borderId="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3" fillId="2" borderId="1" applyNumberFormat="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0" fillId="0" borderId="0"/>
    <xf numFmtId="9" fontId="20"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312">
    <xf numFmtId="0" fontId="0" fillId="0" borderId="0" xfId="0"/>
    <xf numFmtId="0" fontId="5" fillId="0" borderId="0" xfId="0" applyFont="1" applyAlignment="1">
      <alignment horizontal="left"/>
    </xf>
    <xf numFmtId="0" fontId="6" fillId="0" borderId="0" xfId="0" applyFont="1"/>
    <xf numFmtId="167" fontId="0" fillId="0" borderId="0" xfId="0" applyNumberFormat="1"/>
    <xf numFmtId="0" fontId="0" fillId="0" borderId="0" xfId="0" applyAlignment="1">
      <alignment horizontal="center"/>
    </xf>
    <xf numFmtId="0" fontId="6" fillId="0" borderId="2" xfId="0" applyFont="1" applyBorder="1" applyAlignment="1">
      <alignment horizontal="center"/>
    </xf>
    <xf numFmtId="0" fontId="0" fillId="0" borderId="4" xfId="0" applyBorder="1"/>
    <xf numFmtId="0" fontId="6" fillId="0" borderId="5" xfId="0" applyFont="1" applyBorder="1" applyAlignment="1">
      <alignment horizontal="center"/>
    </xf>
    <xf numFmtId="0" fontId="0" fillId="0" borderId="0" xfId="0" applyBorder="1"/>
    <xf numFmtId="0" fontId="6" fillId="0" borderId="7" xfId="0" applyFont="1" applyBorder="1" applyAlignment="1">
      <alignment horizontal="center"/>
    </xf>
    <xf numFmtId="0" fontId="0" fillId="0" borderId="0" xfId="0" applyBorder="1" applyAlignment="1">
      <alignment horizontal="center"/>
    </xf>
    <xf numFmtId="0" fontId="6" fillId="6" borderId="10" xfId="0" applyFont="1" applyFill="1" applyBorder="1" applyAlignment="1">
      <alignment horizontal="center" textRotation="60"/>
    </xf>
    <xf numFmtId="1" fontId="0" fillId="4" borderId="14" xfId="1" applyNumberFormat="1" applyFont="1" applyFill="1" applyBorder="1" applyAlignment="1">
      <alignment horizontal="center"/>
    </xf>
    <xf numFmtId="1" fontId="0" fillId="5" borderId="16" xfId="1" applyNumberFormat="1" applyFont="1" applyFill="1" applyBorder="1" applyAlignment="1">
      <alignment horizontal="center"/>
    </xf>
    <xf numFmtId="1" fontId="0" fillId="4" borderId="17" xfId="1" applyNumberFormat="1" applyFont="1" applyFill="1" applyBorder="1" applyAlignment="1">
      <alignment horizontal="center"/>
    </xf>
    <xf numFmtId="1" fontId="0" fillId="5" borderId="19" xfId="1" applyNumberFormat="1" applyFont="1" applyFill="1" applyBorder="1" applyAlignment="1">
      <alignment horizontal="center"/>
    </xf>
    <xf numFmtId="0" fontId="18" fillId="0" borderId="0" xfId="0" applyFont="1"/>
    <xf numFmtId="0" fontId="0" fillId="0" borderId="0" xfId="0" applyAlignment="1">
      <alignment wrapText="1"/>
    </xf>
    <xf numFmtId="0" fontId="19" fillId="0" borderId="0" xfId="0" applyFont="1"/>
    <xf numFmtId="0" fontId="6" fillId="6" borderId="23"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0" borderId="0" xfId="0" applyFont="1" applyAlignment="1">
      <alignment horizontal="left"/>
    </xf>
    <xf numFmtId="165" fontId="0" fillId="0" borderId="0" xfId="2" applyFont="1" applyBorder="1"/>
    <xf numFmtId="165" fontId="3" fillId="2" borderId="1" xfId="2" applyFont="1" applyFill="1" applyBorder="1"/>
    <xf numFmtId="168" fontId="0" fillId="0" borderId="0" xfId="2" applyNumberFormat="1" applyFont="1"/>
    <xf numFmtId="0" fontId="4" fillId="0" borderId="0" xfId="0" applyFont="1" applyAlignment="1">
      <alignment horizontal="right"/>
    </xf>
    <xf numFmtId="0" fontId="4" fillId="0" borderId="0" xfId="0" applyFont="1" applyAlignment="1">
      <alignment wrapText="1"/>
    </xf>
    <xf numFmtId="168" fontId="4" fillId="0" borderId="0" xfId="2" applyNumberFormat="1" applyFont="1" applyAlignment="1">
      <alignment wrapText="1"/>
    </xf>
    <xf numFmtId="0" fontId="0" fillId="0" borderId="0" xfId="0" applyBorder="1" applyAlignment="1">
      <alignment horizontal="left" indent="1"/>
    </xf>
    <xf numFmtId="0" fontId="6" fillId="6" borderId="5" xfId="0" applyFont="1" applyFill="1" applyBorder="1" applyAlignment="1">
      <alignment horizontal="center" vertical="center" wrapText="1"/>
    </xf>
    <xf numFmtId="0" fontId="6" fillId="6" borderId="6" xfId="0" applyFont="1" applyFill="1" applyBorder="1" applyAlignment="1">
      <alignment horizontal="right" vertical="center" wrapText="1"/>
    </xf>
    <xf numFmtId="0" fontId="21" fillId="0" borderId="0" xfId="49" applyFont="1" applyAlignment="1">
      <alignment horizontal="center" wrapText="1"/>
    </xf>
    <xf numFmtId="0" fontId="20" fillId="0" borderId="0" xfId="49"/>
    <xf numFmtId="0" fontId="20" fillId="0" borderId="19" xfId="49" applyBorder="1" applyAlignment="1">
      <alignment vertical="center" wrapText="1"/>
    </xf>
    <xf numFmtId="169" fontId="20" fillId="0" borderId="19" xfId="49" applyNumberFormat="1" applyBorder="1" applyAlignment="1">
      <alignment horizontal="center" vertical="center" wrapText="1"/>
    </xf>
    <xf numFmtId="0" fontId="20" fillId="0" borderId="19" xfId="49" applyBorder="1" applyAlignment="1">
      <alignment horizontal="center" vertical="center" wrapText="1"/>
    </xf>
    <xf numFmtId="164" fontId="20" fillId="0" borderId="19" xfId="49" applyNumberFormat="1" applyBorder="1" applyAlignment="1">
      <alignment horizontal="center" vertical="center" wrapText="1"/>
    </xf>
    <xf numFmtId="9" fontId="0" fillId="0" borderId="19" xfId="50" applyFont="1" applyBorder="1" applyAlignment="1">
      <alignment horizontal="center" vertical="center" wrapText="1"/>
    </xf>
    <xf numFmtId="0" fontId="20" fillId="0" borderId="0" xfId="49" applyAlignment="1">
      <alignment vertical="center" wrapText="1"/>
    </xf>
    <xf numFmtId="170" fontId="20" fillId="0" borderId="19" xfId="49" applyNumberFormat="1" applyBorder="1" applyAlignment="1">
      <alignment horizontal="center" vertical="center" wrapText="1"/>
    </xf>
    <xf numFmtId="0" fontId="6" fillId="6" borderId="24" xfId="0" applyFont="1" applyFill="1" applyBorder="1" applyAlignment="1">
      <alignment horizontal="right" vertical="center" wrapText="1"/>
    </xf>
    <xf numFmtId="165" fontId="0" fillId="0" borderId="0" xfId="0" applyNumberFormat="1" applyAlignment="1">
      <alignment vertical="top"/>
    </xf>
    <xf numFmtId="0" fontId="0" fillId="0" borderId="0" xfId="0" applyAlignment="1">
      <alignment vertical="top"/>
    </xf>
    <xf numFmtId="0" fontId="6" fillId="6" borderId="41" xfId="0" applyFont="1" applyFill="1" applyBorder="1" applyAlignment="1">
      <alignment horizontal="center" vertical="center" wrapText="1"/>
    </xf>
    <xf numFmtId="0" fontId="0" fillId="0" borderId="42" xfId="0" applyBorder="1" applyAlignment="1">
      <alignment vertical="top"/>
    </xf>
    <xf numFmtId="9" fontId="11" fillId="6" borderId="45" xfId="3" applyFont="1" applyFill="1" applyBorder="1" applyAlignment="1">
      <alignment horizontal="center" vertical="center" wrapText="1"/>
    </xf>
    <xf numFmtId="9" fontId="0" fillId="0" borderId="6" xfId="3" applyFont="1" applyBorder="1" applyAlignment="1">
      <alignment vertical="top"/>
    </xf>
    <xf numFmtId="9" fontId="0" fillId="0" borderId="9" xfId="3" applyFont="1" applyBorder="1" applyAlignment="1">
      <alignment vertical="top"/>
    </xf>
    <xf numFmtId="171" fontId="0" fillId="0" borderId="0" xfId="0" applyNumberFormat="1"/>
    <xf numFmtId="9" fontId="0" fillId="0" borderId="0" xfId="0" applyNumberFormat="1"/>
    <xf numFmtId="2" fontId="0" fillId="0" borderId="0" xfId="0" applyNumberFormat="1"/>
    <xf numFmtId="10" fontId="0" fillId="0" borderId="0" xfId="0" applyNumberFormat="1"/>
    <xf numFmtId="172" fontId="0" fillId="0" borderId="0" xfId="0" applyNumberFormat="1"/>
    <xf numFmtId="173" fontId="0" fillId="0" borderId="0" xfId="0" applyNumberFormat="1"/>
    <xf numFmtId="170" fontId="0" fillId="0" borderId="0" xfId="0" applyNumberFormat="1"/>
    <xf numFmtId="168" fontId="6" fillId="6" borderId="44" xfId="2" applyNumberFormat="1" applyFont="1" applyFill="1" applyBorder="1" applyAlignment="1">
      <alignment horizontal="center" vertical="center" wrapText="1"/>
    </xf>
    <xf numFmtId="168" fontId="11" fillId="6" borderId="44" xfId="2" applyNumberFormat="1" applyFont="1" applyFill="1" applyBorder="1" applyAlignment="1">
      <alignment horizontal="center" vertical="center" wrapText="1"/>
    </xf>
    <xf numFmtId="168" fontId="6" fillId="6" borderId="45" xfId="2" applyNumberFormat="1" applyFont="1" applyFill="1" applyBorder="1" applyAlignment="1">
      <alignment horizontal="center" vertical="center" wrapText="1"/>
    </xf>
    <xf numFmtId="166" fontId="0" fillId="0" borderId="0" xfId="1" applyNumberFormat="1" applyFont="1"/>
    <xf numFmtId="166" fontId="11" fillId="6" borderId="23" xfId="1" applyNumberFormat="1" applyFont="1" applyFill="1" applyBorder="1" applyAlignment="1">
      <alignment horizontal="center" vertical="center" wrapText="1"/>
    </xf>
    <xf numFmtId="166" fontId="11" fillId="6" borderId="24" xfId="1" applyNumberFormat="1" applyFont="1" applyFill="1" applyBorder="1" applyAlignment="1">
      <alignment horizontal="center" vertical="center" wrapText="1"/>
    </xf>
    <xf numFmtId="166" fontId="0" fillId="0" borderId="24" xfId="1" applyNumberFormat="1" applyFont="1" applyBorder="1" applyAlignment="1">
      <alignment vertical="top"/>
    </xf>
    <xf numFmtId="166" fontId="0" fillId="0" borderId="25" xfId="1" applyNumberFormat="1" applyFont="1" applyBorder="1" applyAlignment="1">
      <alignment vertical="top"/>
    </xf>
    <xf numFmtId="168" fontId="3" fillId="2" borderId="26" xfId="2" applyNumberFormat="1" applyFont="1" applyFill="1" applyBorder="1" applyAlignment="1">
      <alignment vertical="top"/>
    </xf>
    <xf numFmtId="168" fontId="0" fillId="0" borderId="0" xfId="2" applyNumberFormat="1" applyFont="1" applyBorder="1" applyAlignment="1">
      <alignment vertical="top"/>
    </xf>
    <xf numFmtId="168" fontId="3" fillId="2" borderId="30" xfId="2" applyNumberFormat="1" applyFont="1" applyFill="1" applyBorder="1" applyAlignment="1">
      <alignment vertical="top"/>
    </xf>
    <xf numFmtId="168" fontId="3" fillId="2" borderId="1" xfId="2" applyNumberFormat="1" applyFont="1" applyFill="1" applyBorder="1" applyAlignment="1">
      <alignment vertical="top"/>
    </xf>
    <xf numFmtId="168" fontId="3" fillId="2" borderId="32" xfId="2" applyNumberFormat="1" applyFont="1" applyFill="1" applyBorder="1" applyAlignment="1">
      <alignment vertical="top"/>
    </xf>
    <xf numFmtId="168" fontId="3" fillId="2" borderId="34" xfId="2" applyNumberFormat="1" applyFont="1" applyFill="1" applyBorder="1" applyAlignment="1">
      <alignment vertical="top"/>
    </xf>
    <xf numFmtId="168" fontId="0" fillId="0" borderId="8" xfId="2" applyNumberFormat="1" applyFont="1" applyBorder="1" applyAlignment="1">
      <alignment vertical="top"/>
    </xf>
    <xf numFmtId="168" fontId="3" fillId="2" borderId="35" xfId="2" applyNumberFormat="1" applyFont="1" applyFill="1" applyBorder="1" applyAlignment="1">
      <alignment vertical="top"/>
    </xf>
    <xf numFmtId="3" fontId="3" fillId="2" borderId="29" xfId="4" applyNumberFormat="1" applyBorder="1" applyAlignment="1">
      <alignment vertical="top"/>
    </xf>
    <xf numFmtId="3" fontId="3" fillId="2" borderId="31" xfId="4" applyNumberFormat="1" applyBorder="1" applyAlignment="1">
      <alignment vertical="top"/>
    </xf>
    <xf numFmtId="3" fontId="3" fillId="2" borderId="33" xfId="4" applyNumberFormat="1" applyBorder="1" applyAlignment="1">
      <alignment vertical="top"/>
    </xf>
    <xf numFmtId="3" fontId="6" fillId="6" borderId="43" xfId="0" applyNumberFormat="1" applyFont="1" applyFill="1" applyBorder="1" applyAlignment="1">
      <alignment horizontal="right" vertical="center" wrapText="1"/>
    </xf>
    <xf numFmtId="168" fontId="6" fillId="6" borderId="43" xfId="2" applyNumberFormat="1" applyFont="1" applyFill="1" applyBorder="1" applyAlignment="1">
      <alignment horizontal="center" vertical="center" wrapText="1"/>
    </xf>
    <xf numFmtId="168" fontId="3" fillId="2" borderId="29" xfId="2" applyNumberFormat="1" applyFont="1" applyFill="1" applyBorder="1" applyAlignment="1">
      <alignment vertical="top"/>
    </xf>
    <xf numFmtId="168" fontId="0" fillId="0" borderId="6" xfId="2" applyNumberFormat="1" applyFont="1" applyBorder="1" applyAlignment="1">
      <alignment vertical="top"/>
    </xf>
    <xf numFmtId="168" fontId="3" fillId="2" borderId="31" xfId="2" applyNumberFormat="1" applyFont="1" applyFill="1" applyBorder="1" applyAlignment="1">
      <alignment vertical="top"/>
    </xf>
    <xf numFmtId="168" fontId="3" fillId="2" borderId="33" xfId="2" applyNumberFormat="1" applyFont="1" applyFill="1" applyBorder="1" applyAlignment="1">
      <alignment vertical="top"/>
    </xf>
    <xf numFmtId="168" fontId="0" fillId="0" borderId="9" xfId="2" applyNumberFormat="1" applyFont="1" applyBorder="1" applyAlignment="1">
      <alignment vertical="top"/>
    </xf>
    <xf numFmtId="168" fontId="11" fillId="6" borderId="45" xfId="2" applyNumberFormat="1" applyFont="1" applyFill="1" applyBorder="1" applyAlignment="1">
      <alignment horizontal="center" vertical="center" wrapText="1"/>
    </xf>
    <xf numFmtId="168" fontId="0" fillId="0" borderId="0" xfId="2" applyNumberFormat="1" applyFont="1" applyAlignment="1">
      <alignment vertical="top"/>
    </xf>
    <xf numFmtId="168" fontId="0" fillId="0" borderId="5" xfId="2" applyNumberFormat="1" applyFont="1" applyBorder="1" applyAlignment="1">
      <alignment vertical="top"/>
    </xf>
    <xf numFmtId="168" fontId="0" fillId="0" borderId="7" xfId="2" applyNumberFormat="1" applyFont="1" applyBorder="1" applyAlignment="1">
      <alignment vertical="top"/>
    </xf>
    <xf numFmtId="168" fontId="20" fillId="0" borderId="0" xfId="2" applyNumberFormat="1" applyFont="1" applyBorder="1"/>
    <xf numFmtId="168" fontId="20" fillId="0" borderId="8" xfId="2" applyNumberFormat="1" applyFont="1" applyBorder="1"/>
    <xf numFmtId="166" fontId="0" fillId="0" borderId="0" xfId="1" applyNumberFormat="1" applyFont="1" applyAlignment="1">
      <alignment horizontal="center"/>
    </xf>
    <xf numFmtId="0" fontId="4" fillId="0" borderId="0" xfId="0" applyFont="1"/>
    <xf numFmtId="0" fontId="0" fillId="0" borderId="0" xfId="0" applyAlignment="1">
      <alignment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19" xfId="0" applyBorder="1" applyAlignment="1">
      <alignment vertical="center"/>
    </xf>
    <xf numFmtId="0" fontId="0" fillId="0" borderId="19" xfId="0" applyBorder="1" applyAlignment="1">
      <alignment vertical="center" wrapText="1"/>
    </xf>
    <xf numFmtId="168" fontId="0" fillId="0" borderId="19" xfId="2" applyNumberFormat="1" applyFont="1" applyBorder="1" applyAlignment="1">
      <alignment vertical="center"/>
    </xf>
    <xf numFmtId="0" fontId="0" fillId="0" borderId="17" xfId="0" applyBorder="1" applyAlignment="1">
      <alignment horizontal="center" vertical="center"/>
    </xf>
    <xf numFmtId="0" fontId="0" fillId="0" borderId="20" xfId="0" applyBorder="1" applyAlignment="1">
      <alignment horizontal="center" vertical="center"/>
    </xf>
    <xf numFmtId="9" fontId="0" fillId="0" borderId="18" xfId="3" applyFont="1" applyBorder="1" applyAlignment="1">
      <alignment horizontal="center" vertical="center"/>
    </xf>
    <xf numFmtId="9" fontId="0" fillId="0" borderId="19" xfId="3" applyFont="1" applyBorder="1" applyAlignment="1">
      <alignment horizontal="center" vertical="center"/>
    </xf>
    <xf numFmtId="9" fontId="0" fillId="0" borderId="21" xfId="3" applyFont="1" applyBorder="1" applyAlignment="1">
      <alignment horizontal="center" vertical="center"/>
    </xf>
    <xf numFmtId="9" fontId="0" fillId="0" borderId="22" xfId="3" applyFont="1" applyBorder="1" applyAlignment="1">
      <alignment horizontal="center" vertical="center"/>
    </xf>
    <xf numFmtId="168" fontId="0" fillId="0" borderId="17" xfId="2" applyNumberFormat="1" applyFont="1" applyBorder="1" applyAlignment="1">
      <alignment horizontal="center" vertical="center"/>
    </xf>
    <xf numFmtId="166" fontId="0" fillId="0" borderId="18" xfId="1" applyFont="1" applyBorder="1" applyAlignment="1">
      <alignment horizontal="center" vertical="center"/>
    </xf>
    <xf numFmtId="166" fontId="0" fillId="0" borderId="21" xfId="1" applyFont="1" applyBorder="1" applyAlignment="1">
      <alignment horizontal="center" vertical="center"/>
    </xf>
    <xf numFmtId="9" fontId="0" fillId="0" borderId="17" xfId="3" applyFont="1" applyBorder="1" applyAlignment="1">
      <alignment vertical="center"/>
    </xf>
    <xf numFmtId="168" fontId="0" fillId="0" borderId="18" xfId="2" applyNumberFormat="1" applyFont="1" applyBorder="1" applyAlignment="1">
      <alignment vertical="center"/>
    </xf>
    <xf numFmtId="9" fontId="0" fillId="0" borderId="20" xfId="3" applyFont="1" applyBorder="1" applyAlignment="1">
      <alignment vertical="center"/>
    </xf>
    <xf numFmtId="0" fontId="0" fillId="0" borderId="22" xfId="0" applyBorder="1" applyAlignment="1">
      <alignment vertical="center"/>
    </xf>
    <xf numFmtId="168" fontId="0" fillId="0" borderId="22" xfId="2" applyNumberFormat="1" applyFont="1" applyBorder="1" applyAlignment="1">
      <alignment vertical="center"/>
    </xf>
    <xf numFmtId="168" fontId="0" fillId="0" borderId="21" xfId="2" applyNumberFormat="1" applyFont="1" applyBorder="1" applyAlignment="1">
      <alignment vertical="center"/>
    </xf>
    <xf numFmtId="0" fontId="4" fillId="0" borderId="0" xfId="0" applyFont="1" applyAlignment="1">
      <alignment horizontal="center" vertical="center" wrapText="1"/>
    </xf>
    <xf numFmtId="0" fontId="3" fillId="2" borderId="17" xfId="4" applyBorder="1" applyAlignment="1">
      <alignment horizontal="center" vertical="center"/>
    </xf>
    <xf numFmtId="0" fontId="3" fillId="2" borderId="18" xfId="4" applyBorder="1" applyAlignment="1">
      <alignment vertical="center" wrapText="1"/>
    </xf>
    <xf numFmtId="0" fontId="3" fillId="2" borderId="20" xfId="4" applyBorder="1" applyAlignment="1">
      <alignment horizontal="center" vertical="center"/>
    </xf>
    <xf numFmtId="0" fontId="3" fillId="2" borderId="21" xfId="4"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0" fillId="0" borderId="21" xfId="0" applyBorder="1" applyAlignment="1">
      <alignment vertical="center" wrapText="1"/>
    </xf>
    <xf numFmtId="0" fontId="6" fillId="7" borderId="10" xfId="0" applyFont="1" applyFill="1" applyBorder="1" applyAlignment="1">
      <alignment horizontal="center" textRotation="60"/>
    </xf>
    <xf numFmtId="0" fontId="6" fillId="7" borderId="11" xfId="0" applyFont="1" applyFill="1" applyBorder="1" applyAlignment="1">
      <alignment horizontal="center" textRotation="60"/>
    </xf>
    <xf numFmtId="0" fontId="6" fillId="7" borderId="36" xfId="0" applyFont="1" applyFill="1" applyBorder="1" applyAlignment="1">
      <alignment horizontal="center" textRotation="60"/>
    </xf>
    <xf numFmtId="0" fontId="0" fillId="7" borderId="14" xfId="0" applyFill="1" applyBorder="1" applyAlignment="1">
      <alignment horizontal="center"/>
    </xf>
    <xf numFmtId="0" fontId="0" fillId="7" borderId="15" xfId="0" applyFill="1" applyBorder="1"/>
    <xf numFmtId="0" fontId="0" fillId="7" borderId="17" xfId="0" applyFill="1" applyBorder="1" applyAlignment="1">
      <alignment horizontal="center"/>
    </xf>
    <xf numFmtId="0" fontId="0" fillId="7" borderId="18" xfId="0" applyFill="1" applyBorder="1"/>
    <xf numFmtId="0" fontId="0" fillId="7" borderId="20" xfId="0" applyFill="1" applyBorder="1" applyAlignment="1">
      <alignment horizontal="center"/>
    </xf>
    <xf numFmtId="0" fontId="0" fillId="7" borderId="21" xfId="0" applyFill="1" applyBorder="1"/>
    <xf numFmtId="0" fontId="4" fillId="0" borderId="3" xfId="0" quotePrefix="1" applyFont="1" applyBorder="1" applyAlignment="1">
      <alignment horizontal="right"/>
    </xf>
    <xf numFmtId="0" fontId="4" fillId="0" borderId="0" xfId="0" applyFont="1" applyBorder="1" applyAlignment="1">
      <alignment horizontal="right"/>
    </xf>
    <xf numFmtId="0" fontId="4" fillId="0" borderId="0" xfId="0" quotePrefix="1" applyFont="1" applyBorder="1" applyAlignment="1">
      <alignment horizontal="right"/>
    </xf>
    <xf numFmtId="0" fontId="4" fillId="0" borderId="8" xfId="0" quotePrefix="1" applyFont="1" applyBorder="1" applyAlignment="1">
      <alignment horizontal="right"/>
    </xf>
    <xf numFmtId="0" fontId="4" fillId="0" borderId="0" xfId="0" applyFont="1" applyBorder="1" applyAlignment="1">
      <alignment horizontal="center"/>
    </xf>
    <xf numFmtId="1" fontId="0" fillId="5" borderId="15" xfId="1" applyNumberFormat="1" applyFont="1" applyFill="1" applyBorder="1" applyAlignment="1">
      <alignment horizontal="center"/>
    </xf>
    <xf numFmtId="1" fontId="0" fillId="5" borderId="18" xfId="1" applyNumberFormat="1" applyFont="1" applyFill="1" applyBorder="1" applyAlignment="1">
      <alignment horizontal="center"/>
    </xf>
    <xf numFmtId="0" fontId="4" fillId="0" borderId="3" xfId="0" quotePrefix="1" applyFont="1" applyBorder="1" applyAlignment="1">
      <alignment horizontal="center"/>
    </xf>
    <xf numFmtId="0" fontId="4" fillId="0" borderId="0" xfId="0" quotePrefix="1" applyFont="1" applyBorder="1" applyAlignment="1">
      <alignment horizontal="center"/>
    </xf>
    <xf numFmtId="0" fontId="4" fillId="0" borderId="8" xfId="0" quotePrefix="1" applyFont="1" applyBorder="1" applyAlignment="1">
      <alignment horizontal="center"/>
    </xf>
    <xf numFmtId="0" fontId="4" fillId="7" borderId="17" xfId="0" applyFont="1" applyFill="1" applyBorder="1" applyAlignment="1">
      <alignment wrapText="1"/>
    </xf>
    <xf numFmtId="0" fontId="4" fillId="7" borderId="18" xfId="0" applyFont="1" applyFill="1" applyBorder="1" applyAlignment="1">
      <alignment wrapText="1"/>
    </xf>
    <xf numFmtId="0" fontId="4" fillId="7" borderId="19" xfId="0" applyFont="1" applyFill="1" applyBorder="1" applyAlignment="1">
      <alignment wrapText="1"/>
    </xf>
    <xf numFmtId="0" fontId="3" fillId="2" borderId="1" xfId="4" applyAlignment="1">
      <alignment horizontal="center"/>
    </xf>
    <xf numFmtId="1" fontId="4" fillId="6" borderId="18" xfId="1" applyNumberFormat="1" applyFont="1" applyFill="1" applyBorder="1" applyAlignment="1">
      <alignment horizontal="center"/>
    </xf>
    <xf numFmtId="167" fontId="6" fillId="6" borderId="11" xfId="0" applyNumberFormat="1" applyFont="1" applyFill="1" applyBorder="1" applyAlignment="1">
      <alignment horizontal="center" textRotation="60"/>
    </xf>
    <xf numFmtId="167" fontId="1" fillId="0" borderId="0" xfId="0" applyNumberFormat="1" applyFont="1" applyFill="1" applyBorder="1" applyAlignment="1">
      <alignment textRotation="60"/>
    </xf>
    <xf numFmtId="0" fontId="3" fillId="2" borderId="51" xfId="4" applyBorder="1" applyAlignment="1">
      <alignment horizontal="center" textRotation="60"/>
    </xf>
    <xf numFmtId="0" fontId="3" fillId="2" borderId="26" xfId="4" applyBorder="1" applyAlignment="1">
      <alignment horizontal="center" textRotation="60"/>
    </xf>
    <xf numFmtId="0" fontId="23" fillId="0" borderId="52" xfId="0" applyFont="1" applyBorder="1"/>
    <xf numFmtId="168" fontId="23" fillId="0" borderId="52" xfId="2" applyNumberFormat="1" applyFont="1" applyBorder="1"/>
    <xf numFmtId="0" fontId="23" fillId="0" borderId="0" xfId="0" applyFont="1" applyAlignment="1">
      <alignment horizontal="right"/>
    </xf>
    <xf numFmtId="0" fontId="4" fillId="7" borderId="19" xfId="0" applyFont="1" applyFill="1" applyBorder="1" applyAlignment="1">
      <alignment horizontal="center" textRotation="44" wrapText="1"/>
    </xf>
    <xf numFmtId="0" fontId="0" fillId="0" borderId="0" xfId="0" applyAlignment="1">
      <alignment textRotation="44" wrapText="1"/>
    </xf>
    <xf numFmtId="0" fontId="0" fillId="0" borderId="0" xfId="0" applyAlignment="1">
      <alignment textRotation="44"/>
    </xf>
    <xf numFmtId="0" fontId="4" fillId="0" borderId="53" xfId="0" applyFont="1" applyBorder="1" applyAlignment="1">
      <alignment wrapText="1"/>
    </xf>
    <xf numFmtId="168" fontId="4" fillId="0" borderId="53" xfId="2" applyNumberFormat="1" applyFont="1" applyBorder="1" applyAlignment="1">
      <alignment wrapText="1"/>
    </xf>
    <xf numFmtId="166" fontId="4" fillId="0" borderId="53" xfId="1" applyFont="1" applyBorder="1" applyAlignment="1">
      <alignment wrapText="1"/>
    </xf>
    <xf numFmtId="0" fontId="23" fillId="0" borderId="54" xfId="0" applyFont="1" applyBorder="1"/>
    <xf numFmtId="168" fontId="23" fillId="0" borderId="54" xfId="2" applyNumberFormat="1" applyFont="1" applyBorder="1"/>
    <xf numFmtId="166" fontId="23" fillId="0" borderId="54" xfId="1" applyFont="1" applyBorder="1"/>
    <xf numFmtId="0" fontId="0" fillId="0" borderId="38" xfId="0" applyBorder="1"/>
    <xf numFmtId="168" fontId="0" fillId="0" borderId="38" xfId="2" applyNumberFormat="1" applyFont="1" applyBorder="1"/>
    <xf numFmtId="166" fontId="0" fillId="0" borderId="38" xfId="1" applyFont="1" applyBorder="1"/>
    <xf numFmtId="168" fontId="0" fillId="0" borderId="16" xfId="2" applyNumberFormat="1" applyFont="1" applyBorder="1"/>
    <xf numFmtId="0" fontId="4" fillId="7" borderId="53" xfId="0" applyFont="1" applyFill="1" applyBorder="1" applyAlignment="1">
      <alignment horizontal="center" textRotation="44" wrapText="1"/>
    </xf>
    <xf numFmtId="0" fontId="0" fillId="0" borderId="53" xfId="0" applyBorder="1"/>
    <xf numFmtId="9" fontId="4" fillId="0" borderId="53" xfId="3" applyFont="1" applyBorder="1" applyAlignment="1">
      <alignment wrapText="1"/>
    </xf>
    <xf numFmtId="9" fontId="23" fillId="0" borderId="54" xfId="3" applyFont="1" applyBorder="1"/>
    <xf numFmtId="9" fontId="0" fillId="0" borderId="38" xfId="3" applyFont="1" applyBorder="1"/>
    <xf numFmtId="9" fontId="0" fillId="0" borderId="16" xfId="3" applyFont="1" applyBorder="1"/>
    <xf numFmtId="0" fontId="4" fillId="0" borderId="0" xfId="0" applyFont="1" applyAlignment="1">
      <alignment textRotation="90"/>
    </xf>
    <xf numFmtId="0" fontId="0" fillId="7" borderId="15" xfId="0" applyFill="1" applyBorder="1" applyAlignment="1">
      <alignment horizontal="left"/>
    </xf>
    <xf numFmtId="9" fontId="0" fillId="0" borderId="6" xfId="0" applyNumberFormat="1" applyBorder="1"/>
    <xf numFmtId="9" fontId="0" fillId="0" borderId="6" xfId="3" applyFont="1" applyBorder="1"/>
    <xf numFmtId="9" fontId="0" fillId="0" borderId="9" xfId="3" applyFont="1" applyBorder="1"/>
    <xf numFmtId="0" fontId="0" fillId="0" borderId="0" xfId="0" applyAlignment="1"/>
    <xf numFmtId="0" fontId="6" fillId="6" borderId="36" xfId="0" applyFont="1" applyFill="1" applyBorder="1" applyAlignment="1">
      <alignment horizontal="center"/>
    </xf>
    <xf numFmtId="9" fontId="0" fillId="0" borderId="0" xfId="0" applyNumberFormat="1" applyBorder="1"/>
    <xf numFmtId="9" fontId="0" fillId="0" borderId="0" xfId="3" applyFont="1" applyBorder="1"/>
    <xf numFmtId="0" fontId="25" fillId="0" borderId="0" xfId="0" applyFont="1"/>
    <xf numFmtId="9" fontId="1" fillId="6" borderId="14" xfId="3" applyFont="1" applyFill="1" applyBorder="1" applyAlignment="1">
      <alignment horizontal="center"/>
    </xf>
    <xf numFmtId="0" fontId="25" fillId="7" borderId="37" xfId="0" applyFont="1" applyFill="1" applyBorder="1" applyAlignment="1">
      <alignment horizontal="right"/>
    </xf>
    <xf numFmtId="0" fontId="26" fillId="0" borderId="0" xfId="0" applyFont="1"/>
    <xf numFmtId="0" fontId="26" fillId="0" borderId="0" xfId="0" applyFont="1" applyAlignment="1"/>
    <xf numFmtId="174" fontId="25" fillId="6" borderId="37" xfId="0" applyNumberFormat="1" applyFont="1" applyFill="1" applyBorder="1" applyAlignment="1">
      <alignment horizontal="center"/>
    </xf>
    <xf numFmtId="0" fontId="6" fillId="7" borderId="56" xfId="0" applyFont="1" applyFill="1" applyBorder="1" applyAlignment="1">
      <alignment horizontal="center" textRotation="60"/>
    </xf>
    <xf numFmtId="0" fontId="23" fillId="7" borderId="57" xfId="0" applyFont="1" applyFill="1" applyBorder="1" applyAlignment="1">
      <alignment horizontal="right"/>
    </xf>
    <xf numFmtId="9" fontId="24" fillId="6" borderId="57" xfId="3" applyFont="1" applyFill="1" applyBorder="1" applyAlignment="1"/>
    <xf numFmtId="0" fontId="6" fillId="6" borderId="56" xfId="0" applyFont="1" applyFill="1" applyBorder="1" applyAlignment="1">
      <alignment horizontal="center"/>
    </xf>
    <xf numFmtId="0" fontId="6" fillId="3" borderId="23" xfId="0" applyFont="1" applyFill="1" applyBorder="1" applyAlignment="1">
      <alignment horizontal="center" textRotation="60"/>
    </xf>
    <xf numFmtId="0" fontId="25" fillId="3" borderId="24" xfId="0" applyFont="1" applyFill="1" applyBorder="1" applyAlignment="1">
      <alignment horizontal="center"/>
    </xf>
    <xf numFmtId="0" fontId="24" fillId="3" borderId="55" xfId="0" applyFont="1" applyFill="1" applyBorder="1" applyAlignment="1">
      <alignment horizontal="center"/>
    </xf>
    <xf numFmtId="1" fontId="0" fillId="3" borderId="39" xfId="1" applyNumberFormat="1" applyFont="1" applyFill="1" applyBorder="1" applyAlignment="1">
      <alignment horizontal="center"/>
    </xf>
    <xf numFmtId="1" fontId="0" fillId="3" borderId="40" xfId="1" applyNumberFormat="1" applyFont="1" applyFill="1" applyBorder="1" applyAlignment="1">
      <alignment horizontal="center"/>
    </xf>
    <xf numFmtId="0" fontId="4" fillId="0" borderId="0" xfId="0" applyFont="1" applyFill="1" applyAlignment="1">
      <alignment horizontal="right"/>
    </xf>
    <xf numFmtId="0" fontId="0" fillId="0" borderId="0" xfId="0" applyFill="1"/>
    <xf numFmtId="0" fontId="6" fillId="0" borderId="0" xfId="0" applyFont="1" applyFill="1" applyBorder="1" applyAlignment="1">
      <alignment horizontal="center" textRotation="60"/>
    </xf>
    <xf numFmtId="0" fontId="25" fillId="0" borderId="0" xfId="0" applyFont="1" applyFill="1" applyBorder="1" applyAlignment="1">
      <alignment horizontal="center"/>
    </xf>
    <xf numFmtId="9" fontId="24" fillId="0" borderId="0" xfId="3" applyFont="1" applyFill="1" applyBorder="1" applyAlignment="1">
      <alignment horizontal="center"/>
    </xf>
    <xf numFmtId="1" fontId="0" fillId="0" borderId="0" xfId="1" applyNumberFormat="1" applyFont="1" applyFill="1" applyBorder="1" applyAlignment="1">
      <alignment horizontal="center"/>
    </xf>
    <xf numFmtId="167" fontId="0" fillId="0" borderId="0" xfId="0" applyNumberFormat="1" applyBorder="1"/>
    <xf numFmtId="0" fontId="4" fillId="0" borderId="0" xfId="0" applyFont="1" applyBorder="1"/>
    <xf numFmtId="0" fontId="25" fillId="8" borderId="24" xfId="0" applyFont="1" applyFill="1" applyBorder="1" applyAlignment="1">
      <alignment horizontal="center"/>
    </xf>
    <xf numFmtId="1" fontId="0" fillId="8" borderId="39" xfId="1" applyNumberFormat="1" applyFont="1" applyFill="1" applyBorder="1" applyAlignment="1">
      <alignment horizontal="center"/>
    </xf>
    <xf numFmtId="1" fontId="0" fillId="8" borderId="40" xfId="1" applyNumberFormat="1" applyFont="1" applyFill="1" applyBorder="1" applyAlignment="1">
      <alignment horizontal="center"/>
    </xf>
    <xf numFmtId="9" fontId="27" fillId="2" borderId="58" xfId="3" applyFont="1" applyFill="1" applyBorder="1" applyAlignment="1">
      <alignment horizontal="center" vertical="center"/>
    </xf>
    <xf numFmtId="0" fontId="25" fillId="5" borderId="19" xfId="0" applyFont="1" applyFill="1" applyBorder="1" applyAlignment="1">
      <alignment horizontal="center"/>
    </xf>
    <xf numFmtId="0" fontId="6" fillId="4" borderId="46" xfId="0" applyFont="1" applyFill="1" applyBorder="1" applyAlignment="1">
      <alignment horizontal="center" textRotation="60"/>
    </xf>
    <xf numFmtId="0" fontId="6" fillId="5" borderId="47" xfId="0" applyFont="1" applyFill="1" applyBorder="1" applyAlignment="1">
      <alignment horizontal="center" textRotation="60"/>
    </xf>
    <xf numFmtId="0" fontId="6" fillId="5" borderId="48" xfId="0" applyFont="1" applyFill="1" applyBorder="1" applyAlignment="1">
      <alignment horizontal="center" textRotation="60"/>
    </xf>
    <xf numFmtId="0" fontId="25" fillId="4" borderId="17" xfId="0" applyFont="1" applyFill="1" applyBorder="1" applyAlignment="1">
      <alignment horizontal="center"/>
    </xf>
    <xf numFmtId="0" fontId="25" fillId="5" borderId="18" xfId="0" applyFont="1" applyFill="1" applyBorder="1" applyAlignment="1">
      <alignment horizontal="center"/>
    </xf>
    <xf numFmtId="9" fontId="27" fillId="2" borderId="59" xfId="3" applyFont="1" applyFill="1" applyBorder="1" applyAlignment="1">
      <alignment horizontal="center" vertical="center"/>
    </xf>
    <xf numFmtId="9" fontId="27" fillId="2" borderId="60" xfId="3" applyFont="1" applyFill="1" applyBorder="1" applyAlignment="1">
      <alignment horizontal="center" vertical="center"/>
    </xf>
    <xf numFmtId="0" fontId="0" fillId="0" borderId="19" xfId="0" applyFill="1" applyBorder="1" applyAlignment="1">
      <alignment vertical="center" wrapText="1"/>
    </xf>
    <xf numFmtId="168" fontId="0" fillId="0" borderId="0" xfId="0" applyNumberFormat="1"/>
    <xf numFmtId="9" fontId="0" fillId="0" borderId="0" xfId="3" applyFont="1"/>
    <xf numFmtId="0" fontId="3" fillId="2" borderId="49" xfId="4" applyBorder="1" applyAlignment="1">
      <alignment horizontal="left" vertical="center" wrapText="1"/>
    </xf>
    <xf numFmtId="0" fontId="3" fillId="2" borderId="50" xfId="4" applyBorder="1" applyAlignment="1">
      <alignment horizontal="left" vertical="center" wrapText="1"/>
    </xf>
    <xf numFmtId="0" fontId="3" fillId="2" borderId="61" xfId="4" applyBorder="1" applyAlignment="1">
      <alignment vertical="top" wrapText="1"/>
    </xf>
    <xf numFmtId="0" fontId="3" fillId="2" borderId="62" xfId="4" applyBorder="1" applyAlignment="1">
      <alignment vertical="top" wrapText="1"/>
    </xf>
    <xf numFmtId="0" fontId="3" fillId="2" borderId="63" xfId="4" applyBorder="1" applyAlignment="1">
      <alignment vertical="top" wrapText="1"/>
    </xf>
    <xf numFmtId="0" fontId="3" fillId="2" borderId="64" xfId="4" applyBorder="1" applyAlignment="1">
      <alignment vertical="top" wrapText="1"/>
    </xf>
    <xf numFmtId="0" fontId="3" fillId="2" borderId="61" xfId="4" applyBorder="1" applyAlignment="1">
      <alignment vertical="top"/>
    </xf>
    <xf numFmtId="168" fontId="3" fillId="2" borderId="1" xfId="4" applyNumberFormat="1"/>
    <xf numFmtId="174" fontId="0" fillId="0" borderId="38" xfId="1" applyNumberFormat="1" applyFont="1" applyBorder="1"/>
    <xf numFmtId="0" fontId="3" fillId="2" borderId="1" xfId="4" applyAlignment="1">
      <alignment horizontal="center" vertical="center"/>
    </xf>
    <xf numFmtId="0" fontId="6" fillId="7" borderId="47" xfId="0" applyFont="1" applyFill="1" applyBorder="1" applyAlignment="1">
      <alignment horizontal="center" textRotation="60"/>
    </xf>
    <xf numFmtId="0" fontId="6" fillId="7" borderId="48" xfId="0" applyFont="1" applyFill="1" applyBorder="1" applyAlignment="1">
      <alignment horizontal="center" textRotation="60"/>
    </xf>
    <xf numFmtId="0" fontId="25" fillId="7" borderId="6" xfId="0" applyFont="1" applyFill="1" applyBorder="1" applyAlignment="1">
      <alignment horizontal="right"/>
    </xf>
    <xf numFmtId="0" fontId="23" fillId="7" borderId="65" xfId="0" applyFont="1" applyFill="1" applyBorder="1" applyAlignment="1">
      <alignment horizontal="right"/>
    </xf>
    <xf numFmtId="0" fontId="25" fillId="7" borderId="66" xfId="0" applyFont="1" applyFill="1" applyBorder="1" applyAlignment="1">
      <alignment horizontal="right"/>
    </xf>
    <xf numFmtId="0" fontId="23" fillId="7" borderId="67" xfId="0" applyFont="1" applyFill="1" applyBorder="1" applyAlignment="1">
      <alignment horizontal="right"/>
    </xf>
    <xf numFmtId="0" fontId="0" fillId="7" borderId="15" xfId="0" applyFill="1" applyBorder="1" applyAlignment="1">
      <alignment horizontal="left" indent="1"/>
    </xf>
    <xf numFmtId="0" fontId="4" fillId="7" borderId="15" xfId="0" applyFont="1" applyFill="1" applyBorder="1" applyAlignment="1">
      <alignment horizontal="left"/>
    </xf>
    <xf numFmtId="0" fontId="4" fillId="0" borderId="19" xfId="0" applyFont="1" applyBorder="1" applyAlignment="1">
      <alignment vertical="center" wrapText="1"/>
    </xf>
    <xf numFmtId="0" fontId="27" fillId="2" borderId="63" xfId="4" applyFont="1" applyBorder="1" applyAlignment="1">
      <alignment vertical="top" wrapText="1"/>
    </xf>
    <xf numFmtId="168" fontId="3" fillId="9" borderId="31" xfId="0" applyNumberFormat="1" applyFont="1" applyFill="1" applyBorder="1" applyAlignment="1">
      <alignment vertical="top"/>
    </xf>
    <xf numFmtId="9" fontId="27" fillId="2" borderId="68" xfId="3" applyFont="1" applyFill="1" applyBorder="1" applyAlignment="1">
      <alignment horizontal="center" vertical="center"/>
    </xf>
    <xf numFmtId="0" fontId="6" fillId="4" borderId="48" xfId="0" applyFont="1" applyFill="1" applyBorder="1" applyAlignment="1">
      <alignment horizontal="center" textRotation="60"/>
    </xf>
    <xf numFmtId="0" fontId="25" fillId="4" borderId="18" xfId="0" applyFont="1" applyFill="1" applyBorder="1" applyAlignment="1">
      <alignment horizontal="center"/>
    </xf>
    <xf numFmtId="1" fontId="0" fillId="4" borderId="15" xfId="1" applyNumberFormat="1" applyFont="1" applyFill="1" applyBorder="1" applyAlignment="1">
      <alignment horizontal="center"/>
    </xf>
    <xf numFmtId="1" fontId="0" fillId="4" borderId="18" xfId="1" applyNumberFormat="1" applyFont="1" applyFill="1" applyBorder="1" applyAlignment="1">
      <alignment horizontal="center"/>
    </xf>
    <xf numFmtId="0" fontId="0" fillId="0" borderId="0" xfId="0" applyFill="1" applyAlignment="1">
      <alignment wrapText="1"/>
    </xf>
    <xf numFmtId="0" fontId="6" fillId="5" borderId="69" xfId="0" applyFont="1" applyFill="1" applyBorder="1" applyAlignment="1">
      <alignment horizontal="center" textRotation="60"/>
    </xf>
    <xf numFmtId="0" fontId="25" fillId="5" borderId="70" xfId="0" applyFont="1" applyFill="1" applyBorder="1" applyAlignment="1">
      <alignment horizontal="center"/>
    </xf>
    <xf numFmtId="1" fontId="0" fillId="5" borderId="71" xfId="1" applyNumberFormat="1" applyFont="1" applyFill="1" applyBorder="1" applyAlignment="1">
      <alignment horizontal="center"/>
    </xf>
    <xf numFmtId="1" fontId="0" fillId="5" borderId="70" xfId="1" applyNumberFormat="1" applyFont="1" applyFill="1" applyBorder="1" applyAlignment="1">
      <alignment horizontal="center"/>
    </xf>
    <xf numFmtId="0" fontId="25" fillId="5" borderId="17" xfId="0" applyFont="1" applyFill="1" applyBorder="1" applyAlignment="1">
      <alignment horizontal="center"/>
    </xf>
    <xf numFmtId="1" fontId="0" fillId="5" borderId="14" xfId="1" applyNumberFormat="1" applyFont="1" applyFill="1" applyBorder="1" applyAlignment="1">
      <alignment horizontal="center"/>
    </xf>
    <xf numFmtId="1" fontId="0" fillId="5" borderId="17" xfId="1" applyNumberFormat="1" applyFont="1" applyFill="1" applyBorder="1" applyAlignment="1">
      <alignment horizontal="center"/>
    </xf>
    <xf numFmtId="1" fontId="4" fillId="6" borderId="19" xfId="1" applyNumberFormat="1" applyFont="1" applyFill="1" applyBorder="1" applyAlignment="1">
      <alignment horizontal="center"/>
    </xf>
    <xf numFmtId="9" fontId="3" fillId="2" borderId="72" xfId="4" applyNumberFormat="1" applyBorder="1" applyAlignment="1">
      <alignment horizontal="center" vertical="center"/>
    </xf>
    <xf numFmtId="9" fontId="3" fillId="2" borderId="73" xfId="4" applyNumberFormat="1" applyBorder="1" applyAlignment="1">
      <alignment horizontal="center" vertical="center"/>
    </xf>
    <xf numFmtId="9" fontId="3" fillId="2" borderId="74" xfId="4" applyNumberFormat="1" applyBorder="1" applyAlignment="1">
      <alignment horizontal="center" vertical="center"/>
    </xf>
    <xf numFmtId="0" fontId="3" fillId="2" borderId="75" xfId="4" applyBorder="1" applyAlignment="1">
      <alignment horizontal="left" vertical="center" wrapText="1"/>
    </xf>
    <xf numFmtId="0" fontId="4" fillId="7" borderId="20" xfId="0" applyFont="1" applyFill="1" applyBorder="1" applyAlignment="1">
      <alignment wrapText="1"/>
    </xf>
    <xf numFmtId="0" fontId="4" fillId="7" borderId="22" xfId="0" applyFont="1" applyFill="1" applyBorder="1" applyAlignment="1">
      <alignment wrapText="1"/>
    </xf>
    <xf numFmtId="9" fontId="4" fillId="0" borderId="75" xfId="3" applyFont="1" applyFill="1" applyBorder="1" applyAlignment="1">
      <alignment horizontal="center" vertical="center"/>
    </xf>
    <xf numFmtId="9" fontId="4" fillId="0" borderId="49" xfId="3" applyFont="1" applyFill="1" applyBorder="1" applyAlignment="1">
      <alignment horizontal="center" vertical="center"/>
    </xf>
    <xf numFmtId="9" fontId="4" fillId="0" borderId="50" xfId="3" applyFont="1" applyFill="1" applyBorder="1" applyAlignment="1">
      <alignment horizontal="center" vertical="center"/>
    </xf>
    <xf numFmtId="0" fontId="4" fillId="7" borderId="78" xfId="0" applyFont="1" applyFill="1" applyBorder="1" applyAlignment="1">
      <alignment wrapText="1"/>
    </xf>
    <xf numFmtId="0" fontId="0" fillId="7" borderId="18" xfId="0" applyFill="1" applyBorder="1" applyAlignment="1">
      <alignment horizontal="left"/>
    </xf>
    <xf numFmtId="0" fontId="0" fillId="7" borderId="18" xfId="0" applyFont="1" applyFill="1" applyBorder="1"/>
    <xf numFmtId="1" fontId="4" fillId="0" borderId="53" xfId="0" applyNumberFormat="1" applyFont="1" applyBorder="1" applyAlignment="1">
      <alignment wrapText="1"/>
    </xf>
    <xf numFmtId="0" fontId="0" fillId="0" borderId="0" xfId="0" applyAlignment="1">
      <alignment horizontal="right"/>
    </xf>
    <xf numFmtId="0" fontId="6" fillId="6" borderId="80" xfId="0" applyFont="1" applyFill="1" applyBorder="1" applyAlignment="1">
      <alignment horizontal="center" vertical="center" wrapText="1"/>
    </xf>
    <xf numFmtId="3" fontId="6" fillId="6" borderId="81" xfId="0" applyNumberFormat="1" applyFont="1" applyFill="1" applyBorder="1" applyAlignment="1">
      <alignment horizontal="right" vertical="center" wrapText="1"/>
    </xf>
    <xf numFmtId="3" fontId="3" fillId="2" borderId="82" xfId="4" applyNumberFormat="1" applyBorder="1" applyAlignment="1">
      <alignment vertical="top"/>
    </xf>
    <xf numFmtId="3" fontId="3" fillId="2" borderId="83" xfId="4" applyNumberFormat="1" applyBorder="1" applyAlignment="1">
      <alignment vertical="top"/>
    </xf>
    <xf numFmtId="3" fontId="3" fillId="2" borderId="84" xfId="4" applyNumberFormat="1" applyBorder="1" applyAlignment="1">
      <alignment vertical="top"/>
    </xf>
    <xf numFmtId="166" fontId="11" fillId="6" borderId="41" xfId="1" applyNumberFormat="1" applyFont="1" applyFill="1" applyBorder="1" applyAlignment="1">
      <alignment horizontal="center" vertical="center" wrapText="1"/>
    </xf>
    <xf numFmtId="0" fontId="6" fillId="6" borderId="69" xfId="461" applyFont="1" applyFill="1" applyBorder="1" applyAlignment="1">
      <alignment horizontal="center" vertical="center" wrapText="1"/>
    </xf>
    <xf numFmtId="0" fontId="6" fillId="6" borderId="46" xfId="461" applyFont="1" applyFill="1" applyBorder="1" applyAlignment="1">
      <alignment horizontal="center" vertical="center" wrapText="1"/>
    </xf>
    <xf numFmtId="168" fontId="20" fillId="0" borderId="0" xfId="2" applyNumberFormat="1" applyFont="1" applyBorder="1" applyAlignment="1">
      <alignment vertical="top"/>
    </xf>
    <xf numFmtId="0" fontId="0" fillId="0" borderId="19" xfId="0" applyBorder="1" applyAlignment="1">
      <alignment horizontal="left" vertical="center" wrapText="1"/>
    </xf>
    <xf numFmtId="0" fontId="3" fillId="2" borderId="63" xfId="4" applyFont="1" applyBorder="1" applyAlignment="1">
      <alignment vertical="top" wrapText="1"/>
    </xf>
    <xf numFmtId="0" fontId="0" fillId="7" borderId="15" xfId="0" applyFont="1" applyFill="1" applyBorder="1" applyAlignment="1">
      <alignment horizontal="left"/>
    </xf>
    <xf numFmtId="0" fontId="4" fillId="7" borderId="15" xfId="0" applyFont="1" applyFill="1" applyBorder="1"/>
    <xf numFmtId="0" fontId="4" fillId="0" borderId="19" xfId="0" applyFont="1" applyFill="1" applyBorder="1" applyAlignment="1">
      <alignment vertical="center" wrapText="1"/>
    </xf>
    <xf numFmtId="0" fontId="0" fillId="0" borderId="0" xfId="0" applyAlignment="1">
      <alignment horizontal="left"/>
    </xf>
    <xf numFmtId="174" fontId="4" fillId="7" borderId="12" xfId="560" applyNumberFormat="1" applyFont="1" applyFill="1" applyBorder="1"/>
    <xf numFmtId="168" fontId="4" fillId="7" borderId="12" xfId="561" applyNumberFormat="1" applyFont="1" applyFill="1" applyBorder="1"/>
    <xf numFmtId="168" fontId="4" fillId="7" borderId="13" xfId="561" applyNumberFormat="1" applyFont="1" applyFill="1" applyBorder="1"/>
    <xf numFmtId="168" fontId="4" fillId="7" borderId="10" xfId="561" applyNumberFormat="1" applyFont="1" applyFill="1" applyBorder="1"/>
    <xf numFmtId="168" fontId="4" fillId="7" borderId="11" xfId="461" applyNumberFormat="1" applyFont="1" applyFill="1" applyBorder="1"/>
    <xf numFmtId="168" fontId="4" fillId="7" borderId="10" xfId="461" applyNumberFormat="1" applyFont="1" applyFill="1" applyBorder="1"/>
    <xf numFmtId="168" fontId="4" fillId="7" borderId="27" xfId="461" applyNumberFormat="1" applyFont="1" applyFill="1" applyBorder="1"/>
    <xf numFmtId="167" fontId="30" fillId="7" borderId="27" xfId="560" applyNumberFormat="1" applyFont="1" applyFill="1" applyBorder="1" applyAlignment="1">
      <alignment horizontal="center"/>
    </xf>
    <xf numFmtId="0" fontId="6" fillId="5" borderId="46" xfId="0" applyFont="1" applyFill="1" applyBorder="1" applyAlignment="1">
      <alignment horizontal="center" textRotation="60" wrapText="1"/>
    </xf>
    <xf numFmtId="0" fontId="3" fillId="2" borderId="1" xfId="4" applyAlignment="1">
      <alignment horizontal="center" textRotation="60" wrapText="1"/>
    </xf>
    <xf numFmtId="0" fontId="6" fillId="8" borderId="23" xfId="0" applyFont="1" applyFill="1" applyBorder="1" applyAlignment="1">
      <alignment horizontal="center" textRotation="60" wrapText="1"/>
    </xf>
    <xf numFmtId="0" fontId="6" fillId="7" borderId="19" xfId="0" applyFont="1" applyFill="1" applyBorder="1" applyAlignment="1">
      <alignment horizontal="center" textRotation="60" wrapText="1"/>
    </xf>
    <xf numFmtId="0" fontId="0" fillId="0" borderId="85" xfId="0" applyBorder="1"/>
    <xf numFmtId="168" fontId="0" fillId="0" borderId="85" xfId="2" applyNumberFormat="1" applyFont="1" applyBorder="1"/>
    <xf numFmtId="166" fontId="0" fillId="0" borderId="85" xfId="1" applyFont="1" applyBorder="1"/>
    <xf numFmtId="0" fontId="22" fillId="7" borderId="47" xfId="0" applyFont="1" applyFill="1" applyBorder="1" applyAlignment="1">
      <alignment horizontal="center" wrapText="1"/>
    </xf>
    <xf numFmtId="0" fontId="22" fillId="7" borderId="19" xfId="0" applyFont="1" applyFill="1" applyBorder="1" applyAlignment="1">
      <alignment horizontal="center" wrapText="1"/>
    </xf>
    <xf numFmtId="0" fontId="22" fillId="7" borderId="48" xfId="0" applyFont="1" applyFill="1" applyBorder="1" applyAlignment="1">
      <alignment horizontal="center" wrapText="1"/>
    </xf>
    <xf numFmtId="0" fontId="22" fillId="7" borderId="18" xfId="0" applyFont="1" applyFill="1" applyBorder="1" applyAlignment="1">
      <alignment horizontal="center" wrapText="1"/>
    </xf>
    <xf numFmtId="0" fontId="22" fillId="7" borderId="46"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4" fillId="7" borderId="79" xfId="0" applyFont="1" applyFill="1" applyBorder="1" applyAlignment="1">
      <alignment horizontal="center" wrapText="1"/>
    </xf>
    <xf numFmtId="0" fontId="4" fillId="7" borderId="25" xfId="0" applyFont="1" applyFill="1" applyBorder="1" applyAlignment="1">
      <alignment horizontal="center" wrapText="1"/>
    </xf>
    <xf numFmtId="0" fontId="22" fillId="7" borderId="76" xfId="0" applyFont="1" applyFill="1" applyBorder="1" applyAlignment="1">
      <alignment horizontal="center" vertical="center"/>
    </xf>
    <xf numFmtId="0" fontId="22" fillId="7" borderId="77" xfId="0" applyFont="1" applyFill="1" applyBorder="1" applyAlignment="1">
      <alignment horizontal="center" vertical="center"/>
    </xf>
  </cellXfs>
  <cellStyles count="660">
    <cellStyle name="Comma" xfId="1" builtinId="3"/>
    <cellStyle name="Comma 4" xfId="560"/>
    <cellStyle name="Currency" xfId="2" builtinId="4"/>
    <cellStyle name="Currency 4" xfId="56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Input" xfId="4" builtinId="20"/>
    <cellStyle name="Normal" xfId="0" builtinId="0"/>
    <cellStyle name="Normal 2" xfId="49"/>
    <cellStyle name="Normal 5" xfId="461"/>
    <cellStyle name="Percent" xfId="3" builtinId="5"/>
    <cellStyle name="Percent 2" xfId="50"/>
  </cellStyles>
  <dxfs count="1">
    <dxf>
      <font>
        <b/>
        <i val="0"/>
        <color rgb="FFFF0000"/>
      </font>
      <fill>
        <patternFill patternType="solid">
          <fgColor indexed="64"/>
          <bgColor theme="2" tint="-9.9978637043366805E-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X43"/>
  <sheetViews>
    <sheetView showGridLines="0" tabSelected="1" zoomScale="125" zoomScaleNormal="125" zoomScalePageLayoutView="125" workbookViewId="0">
      <pane xSplit="4" ySplit="10" topLeftCell="E11" activePane="bottomRight" state="frozen"/>
      <selection pane="topRight" activeCell="E1" sqref="E1"/>
      <selection pane="bottomLeft" activeCell="A11" sqref="A11"/>
      <selection pane="bottomRight" activeCell="B2" sqref="B2"/>
    </sheetView>
  </sheetViews>
  <sheetFormatPr baseColWidth="10" defaultColWidth="11" defaultRowHeight="16" x14ac:dyDescent="0.2"/>
  <cols>
    <col min="1" max="1" width="10.6640625" style="4" customWidth="1"/>
    <col min="2" max="2" width="48.6640625" customWidth="1"/>
    <col min="3" max="3" width="3.33203125" customWidth="1"/>
    <col min="4" max="4" width="14.1640625" bestFit="1" customWidth="1"/>
    <col min="5" max="5" width="2.6640625" customWidth="1"/>
    <col min="6" max="6" width="8" customWidth="1"/>
    <col min="7" max="7" width="8.33203125" customWidth="1"/>
    <col min="8" max="8" width="14.1640625" customWidth="1"/>
    <col min="9" max="9" width="2.1640625" customWidth="1"/>
    <col min="10" max="10" width="12" customWidth="1"/>
    <col min="11" max="11" width="12.5" bestFit="1" customWidth="1"/>
    <col min="12" max="12" width="2.1640625" customWidth="1"/>
    <col min="13" max="13" width="13.6640625" bestFit="1" customWidth="1"/>
    <col min="14" max="15" width="11.1640625" bestFit="1" customWidth="1"/>
    <col min="16" max="16" width="12.6640625" customWidth="1"/>
    <col min="17" max="17" width="14.83203125" customWidth="1"/>
    <col min="18" max="18" width="8.83203125" customWidth="1"/>
    <col min="21" max="21" width="12.6640625" bestFit="1" customWidth="1"/>
    <col min="22" max="23" width="12.1640625" bestFit="1" customWidth="1"/>
  </cols>
  <sheetData>
    <row r="1" spans="1:18" ht="24" x14ac:dyDescent="0.3">
      <c r="B1" s="1" t="s">
        <v>220</v>
      </c>
    </row>
    <row r="2" spans="1:18" x14ac:dyDescent="0.2">
      <c r="B2" s="231" t="s">
        <v>21</v>
      </c>
    </row>
    <row r="3" spans="1:18" ht="14" customHeight="1" x14ac:dyDescent="0.2">
      <c r="A3"/>
    </row>
    <row r="4" spans="1:18" hidden="1" x14ac:dyDescent="0.2"/>
    <row r="5" spans="1:18" hidden="1" x14ac:dyDescent="0.2"/>
    <row r="6" spans="1:18" hidden="1" x14ac:dyDescent="0.2"/>
    <row r="7" spans="1:18" ht="20" thickBot="1" x14ac:dyDescent="0.3">
      <c r="F7" s="184" t="s">
        <v>222</v>
      </c>
      <c r="Q7" s="184" t="s">
        <v>229</v>
      </c>
    </row>
    <row r="8" spans="1:18" ht="108" customHeight="1" thickBot="1" x14ac:dyDescent="0.25">
      <c r="A8" s="125" t="s">
        <v>1</v>
      </c>
      <c r="B8" s="126" t="s">
        <v>2</v>
      </c>
      <c r="C8" s="17"/>
      <c r="D8" s="297" t="s">
        <v>280</v>
      </c>
      <c r="E8" s="17"/>
      <c r="F8" s="297" t="s">
        <v>239</v>
      </c>
      <c r="G8" s="297" t="s">
        <v>217</v>
      </c>
      <c r="H8" s="297" t="s">
        <v>218</v>
      </c>
      <c r="I8" s="17"/>
      <c r="J8" s="297" t="s">
        <v>223</v>
      </c>
      <c r="K8" s="297" t="s">
        <v>224</v>
      </c>
      <c r="L8" s="157"/>
      <c r="M8" s="297" t="s">
        <v>225</v>
      </c>
      <c r="N8" s="297" t="s">
        <v>226</v>
      </c>
      <c r="O8" s="297" t="s">
        <v>227</v>
      </c>
      <c r="P8" s="17"/>
      <c r="Q8" s="297" t="s">
        <v>281</v>
      </c>
      <c r="R8" s="297" t="s">
        <v>228</v>
      </c>
    </row>
    <row r="9" spans="1:18" ht="19" x14ac:dyDescent="0.25">
      <c r="A9" s="127"/>
      <c r="B9" s="186" t="s">
        <v>221</v>
      </c>
      <c r="C9" s="32"/>
      <c r="D9" s="160">
        <f>SUM(D11:D42)</f>
        <v>1311954.557600057</v>
      </c>
      <c r="F9" s="269">
        <f>SUM(F11:F42)</f>
        <v>425.18506751685015</v>
      </c>
      <c r="G9" s="161">
        <f>H9/D9</f>
        <v>2.6771313336783558</v>
      </c>
      <c r="H9" s="160">
        <f>SUM(H11:H42)</f>
        <v>3512274.654513238</v>
      </c>
      <c r="J9" s="160">
        <f>SUM(J11:J42)</f>
        <v>619660</v>
      </c>
      <c r="K9" s="160">
        <f>SUM(K11:K42)</f>
        <v>692294.55760005699</v>
      </c>
      <c r="L9" s="170"/>
      <c r="M9" s="160">
        <f>SUM(M11:M42)</f>
        <v>517893.55760005693</v>
      </c>
      <c r="N9" s="160">
        <f>SUM(N11:N42)</f>
        <v>794061</v>
      </c>
      <c r="O9" s="160">
        <f>SUM(O11:O42)</f>
        <v>0</v>
      </c>
      <c r="Q9" s="160">
        <f>SUM(Q11:Q42)</f>
        <v>1437180.5608484559</v>
      </c>
      <c r="R9" s="171"/>
    </row>
    <row r="10" spans="1:18" ht="17" thickBot="1" x14ac:dyDescent="0.25">
      <c r="A10" s="190"/>
      <c r="B10" s="191"/>
      <c r="C10" s="33"/>
      <c r="D10" s="162"/>
      <c r="F10" s="162"/>
      <c r="G10" s="162"/>
      <c r="H10" s="162"/>
      <c r="J10" s="163"/>
      <c r="K10" s="163"/>
      <c r="L10" s="165"/>
      <c r="M10" s="163"/>
      <c r="N10" s="163"/>
      <c r="O10" s="163"/>
      <c r="Q10" s="162"/>
      <c r="R10" s="172"/>
    </row>
    <row r="11" spans="1:18" ht="17" thickTop="1" x14ac:dyDescent="0.2">
      <c r="A11" s="128" t="s">
        <v>108</v>
      </c>
      <c r="B11" s="239" t="str">
        <f>VLOOKUP($A11,'Scoring Inputs'!$A:$AH,2,0)</f>
        <v>ELECTRIC PROGRAMS</v>
      </c>
      <c r="D11" s="229"/>
      <c r="F11" s="230">
        <f>IFERROR(D11/('Cost &amp; Benefit Inputs'!P8/'Cost &amp; Benefit Inputs'!G8),0)</f>
        <v>0</v>
      </c>
      <c r="G11" s="167" t="str">
        <f>'Cost &amp; Benefit Inputs'!Q8</f>
        <v/>
      </c>
      <c r="H11" s="166">
        <f>IFERROR(G11*D11,0)</f>
        <v>0</v>
      </c>
      <c r="J11" s="166">
        <f>IFERROR(('Cost &amp; Benefit Inputs'!AB8/'Cost &amp; Benefit Inputs'!Z8)*D11,0)</f>
        <v>0</v>
      </c>
      <c r="K11" s="166">
        <f>D11-J11</f>
        <v>0</v>
      </c>
      <c r="L11" s="165"/>
      <c r="M11" s="166">
        <f>IFERROR(('Cost &amp; Benefit Inputs'!AE8/'Cost &amp; Benefit Inputs'!P8)*' Recommended Portfolio'!D11,0)</f>
        <v>0</v>
      </c>
      <c r="N11" s="166">
        <f>IFERROR(('Cost &amp; Benefit Inputs'!AF8/'Cost &amp; Benefit Inputs'!P8)*' Recommended Portfolio'!D11,0)</f>
        <v>0</v>
      </c>
      <c r="O11" s="166">
        <f>D11-M11-N11</f>
        <v>0</v>
      </c>
      <c r="Q11" s="166">
        <f>'Cost &amp; Benefit Inputs'!P8</f>
        <v>0</v>
      </c>
      <c r="R11" s="173" t="str">
        <f>IFERROR(D11/'Cost &amp; Benefit Inputs'!P8,"")</f>
        <v/>
      </c>
    </row>
    <row r="12" spans="1:18" x14ac:dyDescent="0.2">
      <c r="A12" s="128" t="s">
        <v>109</v>
      </c>
      <c r="B12" s="238" t="str">
        <f>VLOOKUP($A12,'Scoring Inputs'!$A:$AH,2,0)</f>
        <v>Business Existing Facilities</v>
      </c>
      <c r="D12" s="229">
        <f>Q12*'Output Summary'!Y12</f>
        <v>373901</v>
      </c>
      <c r="F12" s="230">
        <f>IFERROR(D12/('Cost &amp; Benefit Inputs'!P9/'Cost &amp; Benefit Inputs'!G9),0)</f>
        <v>141.88918796998988</v>
      </c>
      <c r="G12" s="167">
        <f>'Cost &amp; Benefit Inputs'!Q9</f>
        <v>1.6565915379088207</v>
      </c>
      <c r="H12" s="166">
        <f t="shared" ref="H12:H19" si="0">IFERROR(G12*D12,0)</f>
        <v>619401.23261564597</v>
      </c>
      <c r="J12" s="166">
        <f>IFERROR(('Cost &amp; Benefit Inputs'!AB9/'Cost &amp; Benefit Inputs'!Z9)*D12,0)</f>
        <v>0</v>
      </c>
      <c r="K12" s="166">
        <f t="shared" ref="K12:K19" si="1">D12-J12</f>
        <v>373901</v>
      </c>
      <c r="L12" s="165"/>
      <c r="M12" s="166">
        <f>IFERROR(('Cost &amp; Benefit Inputs'!AE9/'Cost &amp; Benefit Inputs'!P9)*' Recommended Portfolio'!D12,0)</f>
        <v>0</v>
      </c>
      <c r="N12" s="166">
        <f>IFERROR(('Cost &amp; Benefit Inputs'!AF9/'Cost &amp; Benefit Inputs'!P9)*' Recommended Portfolio'!D12,0)</f>
        <v>373901</v>
      </c>
      <c r="O12" s="166">
        <f t="shared" ref="O12:O19" si="2">D12-M12-N12</f>
        <v>0</v>
      </c>
      <c r="Q12" s="166">
        <f>'Cost &amp; Benefit Inputs'!P9</f>
        <v>500000</v>
      </c>
      <c r="R12" s="173">
        <f>IFERROR(D12/'Cost &amp; Benefit Inputs'!P9,"")</f>
        <v>0.74780199999999997</v>
      </c>
    </row>
    <row r="13" spans="1:18" x14ac:dyDescent="0.2">
      <c r="A13" s="128" t="s">
        <v>110</v>
      </c>
      <c r="B13" s="238" t="str">
        <f>VLOOKUP($A13,'Scoring Inputs'!$A:$AH,2,0)</f>
        <v>ZEN</v>
      </c>
      <c r="D13" s="229">
        <f>Q13*'Output Summary'!Y13</f>
        <v>118893.55760005691</v>
      </c>
      <c r="F13" s="230">
        <f>IFERROR(D13/('Cost &amp; Benefit Inputs'!P10/'Cost &amp; Benefit Inputs'!G10),0)</f>
        <v>40.295879546860306</v>
      </c>
      <c r="G13" s="167">
        <f>'Cost &amp; Benefit Inputs'!Q10</f>
        <v>4.6139665433086021</v>
      </c>
      <c r="H13" s="166">
        <f t="shared" si="0"/>
        <v>548570.89698159683</v>
      </c>
      <c r="J13" s="166">
        <f>IFERROR(('Cost &amp; Benefit Inputs'!AB10/'Cost &amp; Benefit Inputs'!Z10)*D13,0)</f>
        <v>0</v>
      </c>
      <c r="K13" s="166">
        <f t="shared" si="1"/>
        <v>118893.55760005691</v>
      </c>
      <c r="L13" s="165"/>
      <c r="M13" s="166">
        <f>IFERROR(('Cost &amp; Benefit Inputs'!AE10/'Cost &amp; Benefit Inputs'!P10)*' Recommended Portfolio'!D13,0)</f>
        <v>118893.55760005691</v>
      </c>
      <c r="N13" s="166">
        <f>IFERROR(('Cost &amp; Benefit Inputs'!AF10/'Cost &amp; Benefit Inputs'!P10)*' Recommended Portfolio'!D13,0)</f>
        <v>0</v>
      </c>
      <c r="O13" s="166">
        <f t="shared" si="2"/>
        <v>0</v>
      </c>
      <c r="Q13" s="166">
        <f>'Cost &amp; Benefit Inputs'!P10</f>
        <v>118020.56084845592</v>
      </c>
      <c r="R13" s="173">
        <f>IFERROR(D13/'Cost &amp; Benefit Inputs'!P10,"")</f>
        <v>1.0073969886715075</v>
      </c>
    </row>
    <row r="14" spans="1:18" x14ac:dyDescent="0.2">
      <c r="A14" s="128" t="s">
        <v>111</v>
      </c>
      <c r="B14" s="129">
        <f>VLOOKUP($A14,'Scoring Inputs'!$A:$AH,2,0)</f>
        <v>0</v>
      </c>
      <c r="D14" s="229">
        <f>Q14*'Output Summary'!Y14</f>
        <v>0</v>
      </c>
      <c r="F14" s="230">
        <f>IFERROR(D14/('Cost &amp; Benefit Inputs'!P11/'Cost &amp; Benefit Inputs'!G11),0)</f>
        <v>0</v>
      </c>
      <c r="G14" s="167" t="str">
        <f>'Cost &amp; Benefit Inputs'!Q11</f>
        <v/>
      </c>
      <c r="H14" s="166">
        <f t="shared" si="0"/>
        <v>0</v>
      </c>
      <c r="J14" s="166">
        <f>IFERROR(('Cost &amp; Benefit Inputs'!AB11/'Cost &amp; Benefit Inputs'!Z11)*D14,0)</f>
        <v>0</v>
      </c>
      <c r="K14" s="166">
        <f t="shared" si="1"/>
        <v>0</v>
      </c>
      <c r="L14" s="165"/>
      <c r="M14" s="166">
        <f>IFERROR(('Cost &amp; Benefit Inputs'!AE11/'Cost &amp; Benefit Inputs'!P11)*' Recommended Portfolio'!D14,0)</f>
        <v>0</v>
      </c>
      <c r="N14" s="166">
        <f>IFERROR(('Cost &amp; Benefit Inputs'!AF11/'Cost &amp; Benefit Inputs'!P11)*' Recommended Portfolio'!D14,0)</f>
        <v>0</v>
      </c>
      <c r="O14" s="166">
        <f t="shared" si="2"/>
        <v>0</v>
      </c>
      <c r="Q14" s="166">
        <f>'Cost &amp; Benefit Inputs'!P11</f>
        <v>0</v>
      </c>
      <c r="R14" s="173" t="str">
        <f>IFERROR(D14/'Cost &amp; Benefit Inputs'!P11,"")</f>
        <v/>
      </c>
    </row>
    <row r="15" spans="1:18" x14ac:dyDescent="0.2">
      <c r="A15" s="128" t="s">
        <v>112</v>
      </c>
      <c r="B15" s="129">
        <f>VLOOKUP($A15,'Scoring Inputs'!$A:$AH,2,0)</f>
        <v>0</v>
      </c>
      <c r="D15" s="229">
        <f>Q15*'Output Summary'!Y15</f>
        <v>0</v>
      </c>
      <c r="F15" s="230">
        <f>IFERROR(D15/('Cost &amp; Benefit Inputs'!P12/'Cost &amp; Benefit Inputs'!G12),0)</f>
        <v>0</v>
      </c>
      <c r="G15" s="167" t="str">
        <f>'Cost &amp; Benefit Inputs'!Q12</f>
        <v/>
      </c>
      <c r="H15" s="166">
        <f t="shared" si="0"/>
        <v>0</v>
      </c>
      <c r="J15" s="166">
        <f>IFERROR(('Cost &amp; Benefit Inputs'!AB12/'Cost &amp; Benefit Inputs'!Z12)*D15,0)</f>
        <v>0</v>
      </c>
      <c r="K15" s="166">
        <f t="shared" si="1"/>
        <v>0</v>
      </c>
      <c r="L15" s="165"/>
      <c r="M15" s="166">
        <f>IFERROR(('Cost &amp; Benefit Inputs'!AE12/'Cost &amp; Benefit Inputs'!P12)*' Recommended Portfolio'!D15,0)</f>
        <v>0</v>
      </c>
      <c r="N15" s="166">
        <f>IFERROR(('Cost &amp; Benefit Inputs'!AF12/'Cost &amp; Benefit Inputs'!P12)*' Recommended Portfolio'!D15,0)</f>
        <v>0</v>
      </c>
      <c r="O15" s="166">
        <f t="shared" si="2"/>
        <v>0</v>
      </c>
      <c r="Q15" s="166">
        <f>'Cost &amp; Benefit Inputs'!P12</f>
        <v>0</v>
      </c>
      <c r="R15" s="173" t="str">
        <f>IFERROR(D15/'Cost &amp; Benefit Inputs'!P12,"")</f>
        <v/>
      </c>
    </row>
    <row r="16" spans="1:18" hidden="1" x14ac:dyDescent="0.2">
      <c r="A16" s="128" t="s">
        <v>113</v>
      </c>
      <c r="B16" s="129">
        <f>VLOOKUP($A16,'Scoring Inputs'!$A:$AH,2,0)</f>
        <v>0</v>
      </c>
      <c r="D16" s="229">
        <f>Q16*'Output Summary'!Y16</f>
        <v>0</v>
      </c>
      <c r="F16" s="230">
        <f>IFERROR(D16/('Cost &amp; Benefit Inputs'!P13/'Cost &amp; Benefit Inputs'!G13),0)</f>
        <v>0</v>
      </c>
      <c r="G16" s="167" t="str">
        <f>'Cost &amp; Benefit Inputs'!Q13</f>
        <v/>
      </c>
      <c r="H16" s="166">
        <f t="shared" si="0"/>
        <v>0</v>
      </c>
      <c r="J16" s="166">
        <f>IFERROR(('Cost &amp; Benefit Inputs'!AB13/'Cost &amp; Benefit Inputs'!Z13)*D16,0)</f>
        <v>0</v>
      </c>
      <c r="K16" s="166">
        <f t="shared" si="1"/>
        <v>0</v>
      </c>
      <c r="L16" s="165"/>
      <c r="M16" s="166">
        <f>IFERROR(('Cost &amp; Benefit Inputs'!AE13/'Cost &amp; Benefit Inputs'!P13)*' Recommended Portfolio'!D16,0)</f>
        <v>0</v>
      </c>
      <c r="N16" s="166">
        <f>IFERROR(('Cost &amp; Benefit Inputs'!AF13/'Cost &amp; Benefit Inputs'!P13)*' Recommended Portfolio'!D16,0)</f>
        <v>0</v>
      </c>
      <c r="O16" s="166">
        <f t="shared" si="2"/>
        <v>0</v>
      </c>
      <c r="Q16" s="166">
        <f>'Cost &amp; Benefit Inputs'!P13</f>
        <v>0</v>
      </c>
      <c r="R16" s="173" t="str">
        <f>IFERROR(D16/'Cost &amp; Benefit Inputs'!P13,"")</f>
        <v/>
      </c>
    </row>
    <row r="17" spans="1:24" hidden="1" x14ac:dyDescent="0.2">
      <c r="A17" s="128" t="s">
        <v>114</v>
      </c>
      <c r="B17" s="129">
        <f>VLOOKUP($A17,'Scoring Inputs'!$A:$AH,2,0)</f>
        <v>0</v>
      </c>
      <c r="D17" s="229">
        <f>Q17*'Output Summary'!Y17</f>
        <v>0</v>
      </c>
      <c r="F17" s="230">
        <f>IFERROR(D17/('Cost &amp; Benefit Inputs'!P14/'Cost &amp; Benefit Inputs'!G14),0)</f>
        <v>0</v>
      </c>
      <c r="G17" s="167" t="str">
        <f>'Cost &amp; Benefit Inputs'!Q14</f>
        <v/>
      </c>
      <c r="H17" s="166">
        <f t="shared" si="0"/>
        <v>0</v>
      </c>
      <c r="J17" s="166">
        <f>IFERROR(('Cost &amp; Benefit Inputs'!AB14/'Cost &amp; Benefit Inputs'!Z14)*D17,0)</f>
        <v>0</v>
      </c>
      <c r="K17" s="166">
        <f t="shared" si="1"/>
        <v>0</v>
      </c>
      <c r="L17" s="165"/>
      <c r="M17" s="166">
        <f>IFERROR(('Cost &amp; Benefit Inputs'!AE14/'Cost &amp; Benefit Inputs'!P14)*' Recommended Portfolio'!D17,0)</f>
        <v>0</v>
      </c>
      <c r="N17" s="166">
        <f>IFERROR(('Cost &amp; Benefit Inputs'!AF14/'Cost &amp; Benefit Inputs'!P14)*' Recommended Portfolio'!D17,0)</f>
        <v>0</v>
      </c>
      <c r="O17" s="166">
        <f t="shared" si="2"/>
        <v>0</v>
      </c>
      <c r="Q17" s="166">
        <f>'Cost &amp; Benefit Inputs'!P14</f>
        <v>0</v>
      </c>
      <c r="R17" s="173" t="str">
        <f>IFERROR(D17/'Cost &amp; Benefit Inputs'!P14,"")</f>
        <v/>
      </c>
    </row>
    <row r="18" spans="1:24" x14ac:dyDescent="0.2">
      <c r="A18" s="128" t="s">
        <v>115</v>
      </c>
      <c r="B18" s="129">
        <f>VLOOKUP($A18,'Scoring Inputs'!$A:$AH,2,0)</f>
        <v>0</v>
      </c>
      <c r="D18" s="229">
        <f>Q18*'Output Summary'!Y18</f>
        <v>0</v>
      </c>
      <c r="F18" s="230">
        <f>IFERROR(D18/('Cost &amp; Benefit Inputs'!P15/'Cost &amp; Benefit Inputs'!G15),0)</f>
        <v>0</v>
      </c>
      <c r="G18" s="167" t="str">
        <f>'Cost &amp; Benefit Inputs'!Q15</f>
        <v/>
      </c>
      <c r="H18" s="166">
        <f t="shared" si="0"/>
        <v>0</v>
      </c>
      <c r="J18" s="166">
        <f>IFERROR(('Cost &amp; Benefit Inputs'!AB15/'Cost &amp; Benefit Inputs'!Z15)*D18,0)</f>
        <v>0</v>
      </c>
      <c r="K18" s="166">
        <f t="shared" si="1"/>
        <v>0</v>
      </c>
      <c r="L18" s="165"/>
      <c r="M18" s="166">
        <f>IFERROR(('Cost &amp; Benefit Inputs'!AE15/'Cost &amp; Benefit Inputs'!P15)*' Recommended Portfolio'!D18,0)</f>
        <v>0</v>
      </c>
      <c r="N18" s="166">
        <f>IFERROR(('Cost &amp; Benefit Inputs'!AF15/'Cost &amp; Benefit Inputs'!P15)*' Recommended Portfolio'!D18,0)</f>
        <v>0</v>
      </c>
      <c r="O18" s="166">
        <f t="shared" si="2"/>
        <v>0</v>
      </c>
      <c r="Q18" s="166">
        <f>'Cost &amp; Benefit Inputs'!P15</f>
        <v>0</v>
      </c>
      <c r="R18" s="173" t="str">
        <f>IFERROR(D18/'Cost &amp; Benefit Inputs'!P15,"")</f>
        <v/>
      </c>
    </row>
    <row r="19" spans="1:24" x14ac:dyDescent="0.2">
      <c r="A19" s="128" t="s">
        <v>116</v>
      </c>
      <c r="B19" s="129">
        <f>VLOOKUP($A19,'Scoring Inputs'!$A:$AH,2,0)</f>
        <v>0</v>
      </c>
      <c r="D19" s="229">
        <f>Q19*'Output Summary'!Y19</f>
        <v>0</v>
      </c>
      <c r="F19" s="230">
        <f>IFERROR(D19/('Cost &amp; Benefit Inputs'!P16/'Cost &amp; Benefit Inputs'!G16),0)</f>
        <v>0</v>
      </c>
      <c r="G19" s="167" t="str">
        <f>'Cost &amp; Benefit Inputs'!Q16</f>
        <v/>
      </c>
      <c r="H19" s="166">
        <f t="shared" si="0"/>
        <v>0</v>
      </c>
      <c r="J19" s="166">
        <f>IFERROR(('Cost &amp; Benefit Inputs'!AB16/'Cost &amp; Benefit Inputs'!Z16)*D19,0)</f>
        <v>0</v>
      </c>
      <c r="K19" s="166">
        <f t="shared" si="1"/>
        <v>0</v>
      </c>
      <c r="L19" s="165"/>
      <c r="M19" s="166">
        <f>IFERROR(('Cost &amp; Benefit Inputs'!AE16/'Cost &amp; Benefit Inputs'!P16)*' Recommended Portfolio'!D19,0)</f>
        <v>0</v>
      </c>
      <c r="N19" s="166">
        <f>IFERROR(('Cost &amp; Benefit Inputs'!AF16/'Cost &amp; Benefit Inputs'!P16)*' Recommended Portfolio'!D19,0)</f>
        <v>0</v>
      </c>
      <c r="O19" s="166">
        <f t="shared" si="2"/>
        <v>0</v>
      </c>
      <c r="Q19" s="166">
        <f>'Cost &amp; Benefit Inputs'!P16</f>
        <v>0</v>
      </c>
      <c r="R19" s="173" t="str">
        <f>IFERROR(D19/'Cost &amp; Benefit Inputs'!P16,"")</f>
        <v/>
      </c>
    </row>
    <row r="20" spans="1:24" x14ac:dyDescent="0.2">
      <c r="A20" s="128" t="s">
        <v>117</v>
      </c>
      <c r="B20" s="283" t="str">
        <f>VLOOKUP($A20,'Scoring Inputs'!$A:$AH,2,0)</f>
        <v>ELECTRIC AND THERMAL PROGRAMS</v>
      </c>
      <c r="D20" s="229">
        <f>Q20*'Output Summary'!Y20</f>
        <v>0</v>
      </c>
      <c r="F20" s="230">
        <f>IFERROR(D20/('Cost &amp; Benefit Inputs'!P17/'Cost &amp; Benefit Inputs'!G17),0)</f>
        <v>0</v>
      </c>
      <c r="G20" s="167" t="str">
        <f>'Cost &amp; Benefit Inputs'!Q17</f>
        <v/>
      </c>
      <c r="H20" s="166">
        <f t="shared" ref="H20:H42" si="3">IFERROR(G20*D20,0)</f>
        <v>0</v>
      </c>
      <c r="J20" s="166">
        <f>IFERROR(('Cost &amp; Benefit Inputs'!AB17/'Cost &amp; Benefit Inputs'!Z17)*D20,0)</f>
        <v>0</v>
      </c>
      <c r="K20" s="166">
        <f t="shared" ref="K20:K42" si="4">D20-J20</f>
        <v>0</v>
      </c>
      <c r="L20" s="165"/>
      <c r="M20" s="166">
        <f>IFERROR(('Cost &amp; Benefit Inputs'!AE17/'Cost &amp; Benefit Inputs'!P17)*' Recommended Portfolio'!D20,0)</f>
        <v>0</v>
      </c>
      <c r="N20" s="166">
        <f>IFERROR(('Cost &amp; Benefit Inputs'!AF17/'Cost &amp; Benefit Inputs'!P17)*' Recommended Portfolio'!D20,0)</f>
        <v>0</v>
      </c>
      <c r="O20" s="166">
        <f t="shared" ref="O20:O42" si="5">D20-M20-N20</f>
        <v>0</v>
      </c>
      <c r="Q20" s="166">
        <f>'Cost &amp; Benefit Inputs'!P17</f>
        <v>0</v>
      </c>
      <c r="R20" s="173" t="str">
        <f>IFERROR(D20/'Cost &amp; Benefit Inputs'!P17,"")</f>
        <v/>
      </c>
    </row>
    <row r="21" spans="1:24" x14ac:dyDescent="0.2">
      <c r="A21" s="128" t="s">
        <v>118</v>
      </c>
      <c r="B21" s="238" t="str">
        <f>VLOOKUP($A21,'Scoring Inputs'!$A:$AH,2,0)</f>
        <v>Residential Efficiency</v>
      </c>
      <c r="D21" s="229">
        <f>Q21*'Output Summary'!Y21</f>
        <v>399000</v>
      </c>
      <c r="F21" s="230">
        <f>IFERROR(D21/('Cost &amp; Benefit Inputs'!P18/'Cost &amp; Benefit Inputs'!G18),0)</f>
        <v>210</v>
      </c>
      <c r="G21" s="167">
        <f>'Cost &amp; Benefit Inputs'!Q18</f>
        <v>2.1517723557239057</v>
      </c>
      <c r="H21" s="166">
        <f t="shared" si="3"/>
        <v>858557.16993383842</v>
      </c>
      <c r="J21" s="166">
        <f>IFERROR(('Cost &amp; Benefit Inputs'!AB18/'Cost &amp; Benefit Inputs'!Z18)*D21,0)</f>
        <v>199500</v>
      </c>
      <c r="K21" s="166">
        <f t="shared" si="4"/>
        <v>199500</v>
      </c>
      <c r="L21" s="165"/>
      <c r="M21" s="166">
        <f>IFERROR(('Cost &amp; Benefit Inputs'!AE18/'Cost &amp; Benefit Inputs'!P18)*' Recommended Portfolio'!D21,0)</f>
        <v>399000</v>
      </c>
      <c r="N21" s="166">
        <f>IFERROR(('Cost &amp; Benefit Inputs'!AF18/'Cost &amp; Benefit Inputs'!P18)*' Recommended Portfolio'!D21,0)</f>
        <v>0</v>
      </c>
      <c r="O21" s="166">
        <f t="shared" si="5"/>
        <v>0</v>
      </c>
      <c r="Q21" s="166">
        <f>'Cost &amp; Benefit Inputs'!P18</f>
        <v>399000</v>
      </c>
      <c r="R21" s="173">
        <f>IFERROR(D21/'Cost &amp; Benefit Inputs'!P18,"")</f>
        <v>1</v>
      </c>
    </row>
    <row r="22" spans="1:24" x14ac:dyDescent="0.2">
      <c r="A22" s="128" t="s">
        <v>119</v>
      </c>
      <c r="B22" s="129">
        <f>VLOOKUP($A22,'Scoring Inputs'!$A:$AH,2,0)</f>
        <v>0</v>
      </c>
      <c r="D22" s="229">
        <f>Q22*'Output Summary'!Y22</f>
        <v>0</v>
      </c>
      <c r="F22" s="230">
        <f>IFERROR(D22/('Cost &amp; Benefit Inputs'!P19/'Cost &amp; Benefit Inputs'!G19),0)</f>
        <v>0</v>
      </c>
      <c r="G22" s="167" t="str">
        <f>'Cost &amp; Benefit Inputs'!Q19</f>
        <v/>
      </c>
      <c r="H22" s="166">
        <f t="shared" si="3"/>
        <v>0</v>
      </c>
      <c r="J22" s="166">
        <f>IFERROR(('Cost &amp; Benefit Inputs'!AB19/'Cost &amp; Benefit Inputs'!Z19)*D22,0)</f>
        <v>0</v>
      </c>
      <c r="K22" s="166">
        <f t="shared" si="4"/>
        <v>0</v>
      </c>
      <c r="L22" s="165"/>
      <c r="M22" s="166">
        <f>IFERROR(('Cost &amp; Benefit Inputs'!AE19/'Cost &amp; Benefit Inputs'!P19)*' Recommended Portfolio'!D22,0)</f>
        <v>0</v>
      </c>
      <c r="N22" s="166">
        <f>IFERROR(('Cost &amp; Benefit Inputs'!AF19/'Cost &amp; Benefit Inputs'!P19)*' Recommended Portfolio'!D22,0)</f>
        <v>0</v>
      </c>
      <c r="O22" s="166">
        <f t="shared" si="5"/>
        <v>0</v>
      </c>
      <c r="Q22" s="166">
        <f>'Cost &amp; Benefit Inputs'!P19</f>
        <v>0</v>
      </c>
      <c r="R22" s="173" t="str">
        <f>IFERROR(D22/'Cost &amp; Benefit Inputs'!P19,"")</f>
        <v/>
      </c>
    </row>
    <row r="23" spans="1:24" x14ac:dyDescent="0.2">
      <c r="A23" s="128" t="s">
        <v>120</v>
      </c>
      <c r="B23" s="129">
        <f>VLOOKUP($A23,'Scoring Inputs'!$A:$AH,2,0)</f>
        <v>0</v>
      </c>
      <c r="D23" s="229">
        <f>Q23*'Output Summary'!Y23</f>
        <v>0</v>
      </c>
      <c r="F23" s="230">
        <f>IFERROR(D23/('Cost &amp; Benefit Inputs'!P20/'Cost &amp; Benefit Inputs'!G20),0)</f>
        <v>0</v>
      </c>
      <c r="G23" s="167" t="str">
        <f>'Cost &amp; Benefit Inputs'!Q20</f>
        <v/>
      </c>
      <c r="H23" s="166">
        <f t="shared" si="3"/>
        <v>0</v>
      </c>
      <c r="J23" s="166">
        <f>IFERROR(('Cost &amp; Benefit Inputs'!AB20/'Cost &amp; Benefit Inputs'!Z20)*D23,0)</f>
        <v>0</v>
      </c>
      <c r="K23" s="166">
        <f t="shared" si="4"/>
        <v>0</v>
      </c>
      <c r="L23" s="165"/>
      <c r="M23" s="166">
        <f>IFERROR(('Cost &amp; Benefit Inputs'!AE20/'Cost &amp; Benefit Inputs'!P20)*' Recommended Portfolio'!D23,0)</f>
        <v>0</v>
      </c>
      <c r="N23" s="166">
        <f>IFERROR(('Cost &amp; Benefit Inputs'!AF20/'Cost &amp; Benefit Inputs'!P20)*' Recommended Portfolio'!D23,0)</f>
        <v>0</v>
      </c>
      <c r="O23" s="166">
        <f t="shared" si="5"/>
        <v>0</v>
      </c>
      <c r="Q23" s="166">
        <f>'Cost &amp; Benefit Inputs'!P20</f>
        <v>0</v>
      </c>
      <c r="R23" s="173" t="str">
        <f>IFERROR(D23/'Cost &amp; Benefit Inputs'!P20,"")</f>
        <v/>
      </c>
    </row>
    <row r="24" spans="1:24" x14ac:dyDescent="0.2">
      <c r="A24" s="128" t="s">
        <v>121</v>
      </c>
      <c r="B24" s="283" t="str">
        <f>VLOOKUP($A24,'Scoring Inputs'!$A:$AH,2,0)</f>
        <v>THERMAL PROGRAM</v>
      </c>
      <c r="D24" s="229">
        <f>Q24*'Output Summary'!Y24</f>
        <v>0</v>
      </c>
      <c r="F24" s="230">
        <f>IFERROR(D24/('Cost &amp; Benefit Inputs'!P21/'Cost &amp; Benefit Inputs'!G21),0)</f>
        <v>0</v>
      </c>
      <c r="G24" s="167" t="str">
        <f>'Cost &amp; Benefit Inputs'!Q21</f>
        <v/>
      </c>
      <c r="H24" s="166">
        <f t="shared" si="3"/>
        <v>0</v>
      </c>
      <c r="J24" s="166">
        <f>IFERROR(('Cost &amp; Benefit Inputs'!AB21/'Cost &amp; Benefit Inputs'!Z21)*D24,0)</f>
        <v>0</v>
      </c>
      <c r="K24" s="166">
        <f t="shared" si="4"/>
        <v>0</v>
      </c>
      <c r="L24" s="165"/>
      <c r="M24" s="166">
        <f>IFERROR(('Cost &amp; Benefit Inputs'!AE21/'Cost &amp; Benefit Inputs'!P21)*' Recommended Portfolio'!D24,0)</f>
        <v>0</v>
      </c>
      <c r="N24" s="166">
        <f>IFERROR(('Cost &amp; Benefit Inputs'!AF21/'Cost &amp; Benefit Inputs'!P21)*' Recommended Portfolio'!D24,0)</f>
        <v>0</v>
      </c>
      <c r="O24" s="166">
        <f t="shared" si="5"/>
        <v>0</v>
      </c>
      <c r="Q24" s="166">
        <f>'Cost &amp; Benefit Inputs'!P21</f>
        <v>0</v>
      </c>
      <c r="R24" s="173" t="str">
        <f>IFERROR(D24/'Cost &amp; Benefit Inputs'!P21,"")</f>
        <v/>
      </c>
    </row>
    <row r="25" spans="1:24" x14ac:dyDescent="0.2">
      <c r="A25" s="128" t="s">
        <v>122</v>
      </c>
      <c r="B25" s="238" t="str">
        <f>VLOOKUP($A25,'Scoring Inputs'!$A:$AH,2,0)</f>
        <v>Enhanced Maple Sap Preheater Program</v>
      </c>
      <c r="D25" s="229">
        <f>Q25*'Output Summary'!Y25</f>
        <v>420160</v>
      </c>
      <c r="F25" s="230">
        <f>IFERROR(D25/('Cost &amp; Benefit Inputs'!P22/'Cost &amp; Benefit Inputs'!G22),0)</f>
        <v>33</v>
      </c>
      <c r="G25" s="167">
        <f>'Cost &amp; Benefit Inputs'!Q22</f>
        <v>3.5361418387808383</v>
      </c>
      <c r="H25" s="166">
        <f t="shared" si="3"/>
        <v>1485745.354982157</v>
      </c>
      <c r="J25" s="166">
        <f>IFERROR(('Cost &amp; Benefit Inputs'!AB22/'Cost &amp; Benefit Inputs'!Z22)*D25,0)</f>
        <v>420160</v>
      </c>
      <c r="K25" s="166">
        <f t="shared" si="4"/>
        <v>0</v>
      </c>
      <c r="L25" s="165"/>
      <c r="M25" s="166">
        <f>IFERROR(('Cost &amp; Benefit Inputs'!AE22/'Cost &amp; Benefit Inputs'!P22)*' Recommended Portfolio'!D25,0)</f>
        <v>0</v>
      </c>
      <c r="N25" s="166">
        <f>IFERROR(('Cost &amp; Benefit Inputs'!AF22/'Cost &amp; Benefit Inputs'!P22)*' Recommended Portfolio'!D25,0)</f>
        <v>420160</v>
      </c>
      <c r="O25" s="166">
        <f t="shared" si="5"/>
        <v>0</v>
      </c>
      <c r="Q25" s="166">
        <f>'Cost &amp; Benefit Inputs'!P22</f>
        <v>420160</v>
      </c>
      <c r="R25" s="173">
        <f>IFERROR(D25/'Cost &amp; Benefit Inputs'!P22,"")</f>
        <v>1</v>
      </c>
      <c r="U25" s="270"/>
    </row>
    <row r="26" spans="1:24" x14ac:dyDescent="0.2">
      <c r="A26" s="128" t="s">
        <v>123</v>
      </c>
      <c r="B26" s="129">
        <f>VLOOKUP($A26,'Scoring Inputs'!$A:$AH,2,0)</f>
        <v>0</v>
      </c>
      <c r="D26" s="229">
        <f>Q26*'Output Summary'!Y26</f>
        <v>0</v>
      </c>
      <c r="F26" s="230">
        <f>SUM(F27:F28)</f>
        <v>0</v>
      </c>
      <c r="G26" s="167" t="str">
        <f>'Cost &amp; Benefit Inputs'!Q23</f>
        <v/>
      </c>
      <c r="H26" s="166">
        <f>SUM(H27:H28)</f>
        <v>0</v>
      </c>
      <c r="J26" s="166">
        <f>SUM(J27:J28)</f>
        <v>0</v>
      </c>
      <c r="K26" s="166">
        <f>SUM(K27:K28)</f>
        <v>0</v>
      </c>
      <c r="L26" s="165"/>
      <c r="M26" s="166">
        <f>IFERROR(('Cost &amp; Benefit Inputs'!AE23/'Cost &amp; Benefit Inputs'!P23)*' Recommended Portfolio'!D26,0)</f>
        <v>0</v>
      </c>
      <c r="N26" s="166">
        <f>IFERROR(('Cost &amp; Benefit Inputs'!AF23/'Cost &amp; Benefit Inputs'!P23)*' Recommended Portfolio'!D26,0)</f>
        <v>0</v>
      </c>
      <c r="O26" s="166">
        <f>SUM(O27:O28)</f>
        <v>0</v>
      </c>
      <c r="Q26" s="166">
        <f>SUM(Q27:Q28)</f>
        <v>0</v>
      </c>
      <c r="R26" s="173" t="str">
        <f>IFERROR(D26/'Cost &amp; Benefit Inputs'!P23,"")</f>
        <v/>
      </c>
      <c r="U26" s="31"/>
      <c r="V26" s="31"/>
      <c r="W26" s="220"/>
      <c r="X26" s="220"/>
    </row>
    <row r="27" spans="1:24" hidden="1" x14ac:dyDescent="0.2">
      <c r="A27" s="128" t="s">
        <v>124</v>
      </c>
      <c r="B27" s="129">
        <f>VLOOKUP($A27,'Scoring Inputs'!$A:$AH,2,0)</f>
        <v>0</v>
      </c>
      <c r="D27" s="229">
        <f t="shared" ref="D27:D36" si="6">Q27</f>
        <v>0</v>
      </c>
      <c r="F27" s="230">
        <f>IFERROR(D27/('Cost &amp; Benefit Inputs'!P24/'Cost &amp; Benefit Inputs'!G24),0)</f>
        <v>0</v>
      </c>
      <c r="G27" s="167" t="str">
        <f>'Cost &amp; Benefit Inputs'!Q24</f>
        <v/>
      </c>
      <c r="H27" s="166">
        <f t="shared" si="3"/>
        <v>0</v>
      </c>
      <c r="J27" s="166">
        <f>IFERROR(('Cost &amp; Benefit Inputs'!AB24/'Cost &amp; Benefit Inputs'!Z24)*D27,0)</f>
        <v>0</v>
      </c>
      <c r="K27" s="166">
        <f t="shared" si="4"/>
        <v>0</v>
      </c>
      <c r="L27" s="165"/>
      <c r="M27" s="166">
        <f>IFERROR(('Cost &amp; Benefit Inputs'!AE24/'Cost &amp; Benefit Inputs'!P24)*' Recommended Portfolio'!D27,0)</f>
        <v>0</v>
      </c>
      <c r="N27" s="166">
        <f>IFERROR(('Cost &amp; Benefit Inputs'!AF24/'Cost &amp; Benefit Inputs'!P24)*' Recommended Portfolio'!D27,0)</f>
        <v>0</v>
      </c>
      <c r="O27" s="166">
        <f t="shared" si="5"/>
        <v>0</v>
      </c>
      <c r="Q27" s="166">
        <f>'Cost &amp; Benefit Inputs'!P24</f>
        <v>0</v>
      </c>
      <c r="R27" s="173" t="str">
        <f>IFERROR(D27/'Cost &amp; Benefit Inputs'!P24,"")</f>
        <v/>
      </c>
      <c r="V27" s="31">
        <v>250000</v>
      </c>
      <c r="W27" s="220" t="e">
        <f>(V27/$V$26)*$W$26</f>
        <v>#DIV/0!</v>
      </c>
    </row>
    <row r="28" spans="1:24" hidden="1" x14ac:dyDescent="0.2">
      <c r="A28" s="128" t="s">
        <v>125</v>
      </c>
      <c r="B28" s="129">
        <f>VLOOKUP($A28,'Scoring Inputs'!$A:$AH,2,0)</f>
        <v>0</v>
      </c>
      <c r="D28" s="229">
        <f t="shared" si="6"/>
        <v>0</v>
      </c>
      <c r="F28" s="230">
        <f>IFERROR(D28/('Cost &amp; Benefit Inputs'!P25/'Cost &amp; Benefit Inputs'!G25),0)</f>
        <v>0</v>
      </c>
      <c r="G28" s="167" t="str">
        <f>'Cost &amp; Benefit Inputs'!Q25</f>
        <v/>
      </c>
      <c r="H28" s="166">
        <f t="shared" si="3"/>
        <v>0</v>
      </c>
      <c r="J28" s="166">
        <f>IFERROR(('Cost &amp; Benefit Inputs'!AB25/'Cost &amp; Benefit Inputs'!Z25)*D28,0)</f>
        <v>0</v>
      </c>
      <c r="K28" s="166">
        <f t="shared" si="4"/>
        <v>0</v>
      </c>
      <c r="L28" s="165"/>
      <c r="M28" s="166">
        <f>IFERROR(('Cost &amp; Benefit Inputs'!AE25/'Cost &amp; Benefit Inputs'!P25)*' Recommended Portfolio'!D28,0)</f>
        <v>0</v>
      </c>
      <c r="N28" s="166">
        <f>IFERROR(('Cost &amp; Benefit Inputs'!AF25/'Cost &amp; Benefit Inputs'!P25)*' Recommended Portfolio'!D28,0)</f>
        <v>0</v>
      </c>
      <c r="O28" s="166">
        <f t="shared" si="5"/>
        <v>0</v>
      </c>
      <c r="Q28" s="166">
        <f>'Cost &amp; Benefit Inputs'!P25</f>
        <v>0</v>
      </c>
      <c r="R28" s="173" t="str">
        <f>IFERROR(D28/'Cost &amp; Benefit Inputs'!P25,"")</f>
        <v/>
      </c>
      <c r="V28" s="31">
        <v>50000</v>
      </c>
      <c r="W28" s="220" t="e">
        <f>(V28/$V$26)*$W$26</f>
        <v>#DIV/0!</v>
      </c>
    </row>
    <row r="29" spans="1:24" hidden="1" x14ac:dyDescent="0.2">
      <c r="A29" s="128" t="s">
        <v>126</v>
      </c>
      <c r="B29" s="129">
        <f>VLOOKUP($A29,'Scoring Inputs'!$A:$AH,2,0)</f>
        <v>0</v>
      </c>
      <c r="D29" s="229">
        <f t="shared" si="6"/>
        <v>0</v>
      </c>
      <c r="F29" s="230">
        <f>IFERROR(D29/('Cost &amp; Benefit Inputs'!P26/'Cost &amp; Benefit Inputs'!G26),0)</f>
        <v>0</v>
      </c>
      <c r="G29" s="167" t="str">
        <f>'Cost &amp; Benefit Inputs'!Q26</f>
        <v/>
      </c>
      <c r="H29" s="166">
        <f t="shared" si="3"/>
        <v>0</v>
      </c>
      <c r="J29" s="166">
        <f>IFERROR(('Cost &amp; Benefit Inputs'!AB26/'Cost &amp; Benefit Inputs'!Z26)*D29,0)</f>
        <v>0</v>
      </c>
      <c r="K29" s="166">
        <f t="shared" si="4"/>
        <v>0</v>
      </c>
      <c r="L29" s="165"/>
      <c r="M29" s="166">
        <f>IFERROR(('Cost &amp; Benefit Inputs'!AE26/'Cost &amp; Benefit Inputs'!P26)*' Recommended Portfolio'!D29,0)</f>
        <v>0</v>
      </c>
      <c r="N29" s="166">
        <f>IFERROR(('Cost &amp; Benefit Inputs'!AF26/'Cost &amp; Benefit Inputs'!P26)*' Recommended Portfolio'!D29,0)</f>
        <v>0</v>
      </c>
      <c r="O29" s="166">
        <f t="shared" si="5"/>
        <v>0</v>
      </c>
      <c r="Q29" s="166">
        <f>'Cost &amp; Benefit Inputs'!P26</f>
        <v>0</v>
      </c>
      <c r="R29" s="173" t="str">
        <f>IFERROR(D29/'Cost &amp; Benefit Inputs'!P26,"")</f>
        <v/>
      </c>
    </row>
    <row r="30" spans="1:24" hidden="1" x14ac:dyDescent="0.2">
      <c r="A30" s="128" t="s">
        <v>127</v>
      </c>
      <c r="B30" s="129">
        <f>VLOOKUP($A30,'Scoring Inputs'!$A:$AH,2,0)</f>
        <v>0</v>
      </c>
      <c r="D30" s="229">
        <f t="shared" si="6"/>
        <v>0</v>
      </c>
      <c r="F30" s="230">
        <f>IFERROR(D30/('Cost &amp; Benefit Inputs'!P27/'Cost &amp; Benefit Inputs'!G27),0)</f>
        <v>0</v>
      </c>
      <c r="G30" s="167" t="str">
        <f>'Cost &amp; Benefit Inputs'!Q27</f>
        <v/>
      </c>
      <c r="H30" s="166">
        <f t="shared" si="3"/>
        <v>0</v>
      </c>
      <c r="J30" s="166">
        <f>IFERROR(('Cost &amp; Benefit Inputs'!AB27/'Cost &amp; Benefit Inputs'!Z27)*D30,0)</f>
        <v>0</v>
      </c>
      <c r="K30" s="166">
        <f t="shared" si="4"/>
        <v>0</v>
      </c>
      <c r="L30" s="165"/>
      <c r="M30" s="166">
        <f>IFERROR(('Cost &amp; Benefit Inputs'!AE27/'Cost &amp; Benefit Inputs'!P27)*' Recommended Portfolio'!D30,0)</f>
        <v>0</v>
      </c>
      <c r="N30" s="166">
        <f>IFERROR(('Cost &amp; Benefit Inputs'!AF27/'Cost &amp; Benefit Inputs'!P27)*' Recommended Portfolio'!D30,0)</f>
        <v>0</v>
      </c>
      <c r="O30" s="166">
        <f t="shared" si="5"/>
        <v>0</v>
      </c>
      <c r="Q30" s="166">
        <f>'Cost &amp; Benefit Inputs'!P27</f>
        <v>0</v>
      </c>
      <c r="R30" s="173" t="str">
        <f>IFERROR(D30/'Cost &amp; Benefit Inputs'!P27,"")</f>
        <v/>
      </c>
    </row>
    <row r="31" spans="1:24" hidden="1" x14ac:dyDescent="0.2">
      <c r="A31" s="128" t="s">
        <v>128</v>
      </c>
      <c r="B31" s="129">
        <f>VLOOKUP($A31,'Scoring Inputs'!$A:$AH,2,0)</f>
        <v>0</v>
      </c>
      <c r="D31" s="229">
        <f t="shared" si="6"/>
        <v>0</v>
      </c>
      <c r="F31" s="230">
        <f>IFERROR(D31/('Cost &amp; Benefit Inputs'!P28/'Cost &amp; Benefit Inputs'!G28),0)</f>
        <v>0</v>
      </c>
      <c r="G31" s="167" t="str">
        <f>'Cost &amp; Benefit Inputs'!Q28</f>
        <v/>
      </c>
      <c r="H31" s="166">
        <f t="shared" si="3"/>
        <v>0</v>
      </c>
      <c r="J31" s="166">
        <f>IFERROR(('Cost &amp; Benefit Inputs'!AB28/'Cost &amp; Benefit Inputs'!Z28)*D31,0)</f>
        <v>0</v>
      </c>
      <c r="K31" s="166">
        <f t="shared" si="4"/>
        <v>0</v>
      </c>
      <c r="L31" s="165"/>
      <c r="M31" s="166">
        <f>IFERROR(('Cost &amp; Benefit Inputs'!AE28/'Cost &amp; Benefit Inputs'!P28)*' Recommended Portfolio'!D31,0)</f>
        <v>0</v>
      </c>
      <c r="N31" s="166">
        <f>IFERROR(('Cost &amp; Benefit Inputs'!AF28/'Cost &amp; Benefit Inputs'!P28)*' Recommended Portfolio'!D31,0)</f>
        <v>0</v>
      </c>
      <c r="O31" s="166">
        <f t="shared" si="5"/>
        <v>0</v>
      </c>
      <c r="Q31" s="166">
        <f>'Cost &amp; Benefit Inputs'!P28</f>
        <v>0</v>
      </c>
      <c r="R31" s="173" t="str">
        <f>IFERROR(D31/'Cost &amp; Benefit Inputs'!P28,"")</f>
        <v/>
      </c>
    </row>
    <row r="32" spans="1:24" hidden="1" x14ac:dyDescent="0.2">
      <c r="A32" s="128" t="s">
        <v>129</v>
      </c>
      <c r="B32" s="129">
        <f>VLOOKUP($A32,'Scoring Inputs'!$A:$AH,2,0)</f>
        <v>0</v>
      </c>
      <c r="D32" s="229">
        <f t="shared" si="6"/>
        <v>0</v>
      </c>
      <c r="F32" s="230">
        <f>IFERROR(D32/('Cost &amp; Benefit Inputs'!P29/'Cost &amp; Benefit Inputs'!G29),0)</f>
        <v>0</v>
      </c>
      <c r="G32" s="167" t="str">
        <f>'Cost &amp; Benefit Inputs'!Q29</f>
        <v/>
      </c>
      <c r="H32" s="166">
        <f t="shared" si="3"/>
        <v>0</v>
      </c>
      <c r="J32" s="166">
        <f>IFERROR(('Cost &amp; Benefit Inputs'!AB29/'Cost &amp; Benefit Inputs'!Z29)*D32,0)</f>
        <v>0</v>
      </c>
      <c r="K32" s="166">
        <f t="shared" si="4"/>
        <v>0</v>
      </c>
      <c r="L32" s="165"/>
      <c r="M32" s="166">
        <f>IFERROR(('Cost &amp; Benefit Inputs'!AE29/'Cost &amp; Benefit Inputs'!P29)*' Recommended Portfolio'!D32,0)</f>
        <v>0</v>
      </c>
      <c r="N32" s="166">
        <f>IFERROR(('Cost &amp; Benefit Inputs'!AF29/'Cost &amp; Benefit Inputs'!P29)*' Recommended Portfolio'!D32,0)</f>
        <v>0</v>
      </c>
      <c r="O32" s="166">
        <f t="shared" si="5"/>
        <v>0</v>
      </c>
      <c r="Q32" s="166">
        <f>'Cost &amp; Benefit Inputs'!P29</f>
        <v>0</v>
      </c>
      <c r="R32" s="173" t="str">
        <f>IFERROR(D32/'Cost &amp; Benefit Inputs'!P29,"")</f>
        <v/>
      </c>
    </row>
    <row r="33" spans="1:18" hidden="1" x14ac:dyDescent="0.2">
      <c r="A33" s="128" t="s">
        <v>130</v>
      </c>
      <c r="B33" s="129">
        <f>VLOOKUP($A33,'Scoring Inputs'!$A:$AH,2,0)</f>
        <v>0</v>
      </c>
      <c r="D33" s="229">
        <f t="shared" si="6"/>
        <v>0</v>
      </c>
      <c r="F33" s="230">
        <f>IFERROR(D33/('Cost &amp; Benefit Inputs'!P30/'Cost &amp; Benefit Inputs'!G30),0)</f>
        <v>0</v>
      </c>
      <c r="G33" s="167" t="str">
        <f>'Cost &amp; Benefit Inputs'!Q30</f>
        <v/>
      </c>
      <c r="H33" s="166">
        <f t="shared" si="3"/>
        <v>0</v>
      </c>
      <c r="J33" s="166">
        <f>IFERROR(('Cost &amp; Benefit Inputs'!AB30/'Cost &amp; Benefit Inputs'!Z30)*D33,0)</f>
        <v>0</v>
      </c>
      <c r="K33" s="166">
        <f t="shared" si="4"/>
        <v>0</v>
      </c>
      <c r="L33" s="165"/>
      <c r="M33" s="166">
        <f>IFERROR(('Cost &amp; Benefit Inputs'!AE30/'Cost &amp; Benefit Inputs'!P30)*' Recommended Portfolio'!D33,0)</f>
        <v>0</v>
      </c>
      <c r="N33" s="166">
        <f>IFERROR(('Cost &amp; Benefit Inputs'!AF30/'Cost &amp; Benefit Inputs'!P30)*' Recommended Portfolio'!D33,0)</f>
        <v>0</v>
      </c>
      <c r="O33" s="166">
        <f t="shared" si="5"/>
        <v>0</v>
      </c>
      <c r="Q33" s="166">
        <f>'Cost &amp; Benefit Inputs'!P30</f>
        <v>0</v>
      </c>
      <c r="R33" s="173" t="str">
        <f>IFERROR(D33/'Cost &amp; Benefit Inputs'!P30,"")</f>
        <v/>
      </c>
    </row>
    <row r="34" spans="1:18" hidden="1" x14ac:dyDescent="0.2">
      <c r="A34" s="128" t="s">
        <v>131</v>
      </c>
      <c r="B34" s="129">
        <f>VLOOKUP($A34,'Scoring Inputs'!$A:$AH,2,0)</f>
        <v>0</v>
      </c>
      <c r="D34" s="229">
        <f t="shared" si="6"/>
        <v>0</v>
      </c>
      <c r="F34" s="230">
        <f>IFERROR(D34/('Cost &amp; Benefit Inputs'!P31/'Cost &amp; Benefit Inputs'!G31),0)</f>
        <v>0</v>
      </c>
      <c r="G34" s="167" t="str">
        <f>'Cost &amp; Benefit Inputs'!Q31</f>
        <v/>
      </c>
      <c r="H34" s="166">
        <f t="shared" si="3"/>
        <v>0</v>
      </c>
      <c r="J34" s="166">
        <f>IFERROR(('Cost &amp; Benefit Inputs'!AB31/'Cost &amp; Benefit Inputs'!Z31)*D34,0)</f>
        <v>0</v>
      </c>
      <c r="K34" s="166">
        <f t="shared" si="4"/>
        <v>0</v>
      </c>
      <c r="L34" s="165"/>
      <c r="M34" s="166">
        <f>IFERROR(('Cost &amp; Benefit Inputs'!AE31/'Cost &amp; Benefit Inputs'!P31)*' Recommended Portfolio'!D34,0)</f>
        <v>0</v>
      </c>
      <c r="N34" s="166">
        <f>IFERROR(('Cost &amp; Benefit Inputs'!AF31/'Cost &amp; Benefit Inputs'!P31)*' Recommended Portfolio'!D34,0)</f>
        <v>0</v>
      </c>
      <c r="O34" s="166">
        <f t="shared" si="5"/>
        <v>0</v>
      </c>
      <c r="Q34" s="166">
        <f>'Cost &amp; Benefit Inputs'!P31</f>
        <v>0</v>
      </c>
      <c r="R34" s="173" t="str">
        <f>IFERROR(D34/'Cost &amp; Benefit Inputs'!P31,"")</f>
        <v/>
      </c>
    </row>
    <row r="35" spans="1:18" hidden="1" x14ac:dyDescent="0.2">
      <c r="A35" s="128" t="s">
        <v>132</v>
      </c>
      <c r="B35" s="129">
        <f>VLOOKUP($A35,'Scoring Inputs'!$A:$AH,2,0)</f>
        <v>0</v>
      </c>
      <c r="D35" s="229">
        <f t="shared" si="6"/>
        <v>0</v>
      </c>
      <c r="F35" s="230">
        <f>IFERROR(D35/('Cost &amp; Benefit Inputs'!P32/'Cost &amp; Benefit Inputs'!G32),0)</f>
        <v>0</v>
      </c>
      <c r="G35" s="167" t="str">
        <f>'Cost &amp; Benefit Inputs'!Q32</f>
        <v/>
      </c>
      <c r="H35" s="166">
        <f t="shared" si="3"/>
        <v>0</v>
      </c>
      <c r="J35" s="166">
        <f>IFERROR(('Cost &amp; Benefit Inputs'!AB32/'Cost &amp; Benefit Inputs'!Z32)*D35,0)</f>
        <v>0</v>
      </c>
      <c r="K35" s="166">
        <f t="shared" si="4"/>
        <v>0</v>
      </c>
      <c r="L35" s="165"/>
      <c r="M35" s="166">
        <f>IFERROR(('Cost &amp; Benefit Inputs'!AE32/'Cost &amp; Benefit Inputs'!P32)*' Recommended Portfolio'!D35,0)</f>
        <v>0</v>
      </c>
      <c r="N35" s="166">
        <f>IFERROR(('Cost &amp; Benefit Inputs'!AF32/'Cost &amp; Benefit Inputs'!P32)*' Recommended Portfolio'!D35,0)</f>
        <v>0</v>
      </c>
      <c r="O35" s="166">
        <f t="shared" si="5"/>
        <v>0</v>
      </c>
      <c r="Q35" s="166">
        <f>'Cost &amp; Benefit Inputs'!P32</f>
        <v>0</v>
      </c>
      <c r="R35" s="173" t="str">
        <f>IFERROR(D35/'Cost &amp; Benefit Inputs'!P32,"")</f>
        <v/>
      </c>
    </row>
    <row r="36" spans="1:18" hidden="1" x14ac:dyDescent="0.2">
      <c r="A36" s="128" t="s">
        <v>133</v>
      </c>
      <c r="B36" s="129">
        <f>VLOOKUP($A36,'Scoring Inputs'!$A:$AH,2,0)</f>
        <v>0</v>
      </c>
      <c r="D36" s="229">
        <f t="shared" si="6"/>
        <v>0</v>
      </c>
      <c r="F36" s="230">
        <f>IFERROR(D36/('Cost &amp; Benefit Inputs'!P33/'Cost &amp; Benefit Inputs'!G33),0)</f>
        <v>0</v>
      </c>
      <c r="G36" s="167" t="str">
        <f>'Cost &amp; Benefit Inputs'!Q33</f>
        <v/>
      </c>
      <c r="H36" s="166">
        <f t="shared" si="3"/>
        <v>0</v>
      </c>
      <c r="J36" s="166">
        <f>IFERROR(('Cost &amp; Benefit Inputs'!AB33/'Cost &amp; Benefit Inputs'!Z33)*D36,0)</f>
        <v>0</v>
      </c>
      <c r="K36" s="166">
        <f t="shared" si="4"/>
        <v>0</v>
      </c>
      <c r="L36" s="165"/>
      <c r="M36" s="166">
        <f>IFERROR(('Cost &amp; Benefit Inputs'!AE33/'Cost &amp; Benefit Inputs'!P33)*' Recommended Portfolio'!D36,0)</f>
        <v>0</v>
      </c>
      <c r="N36" s="166">
        <f>IFERROR(('Cost &amp; Benefit Inputs'!AF33/'Cost &amp; Benefit Inputs'!P33)*' Recommended Portfolio'!D36,0)</f>
        <v>0</v>
      </c>
      <c r="O36" s="166">
        <f t="shared" si="5"/>
        <v>0</v>
      </c>
      <c r="Q36" s="166">
        <f>'Cost &amp; Benefit Inputs'!P33</f>
        <v>0</v>
      </c>
      <c r="R36" s="173" t="str">
        <f>IFERROR(D36/'Cost &amp; Benefit Inputs'!P33,"")</f>
        <v/>
      </c>
    </row>
    <row r="37" spans="1:18" hidden="1" x14ac:dyDescent="0.2">
      <c r="A37" s="128" t="s">
        <v>134</v>
      </c>
      <c r="B37" s="129">
        <f>VLOOKUP($A37,'Scoring Inputs'!$A:$AH,2,0)</f>
        <v>0</v>
      </c>
      <c r="D37" s="229">
        <v>0</v>
      </c>
      <c r="F37" s="230">
        <f>IFERROR(D37/('Cost &amp; Benefit Inputs'!P34/'Cost &amp; Benefit Inputs'!G34),0)</f>
        <v>0</v>
      </c>
      <c r="G37" s="167" t="str">
        <f>'Cost &amp; Benefit Inputs'!Q34</f>
        <v/>
      </c>
      <c r="H37" s="166">
        <f t="shared" si="3"/>
        <v>0</v>
      </c>
      <c r="J37" s="166">
        <f>IFERROR(('Cost &amp; Benefit Inputs'!AB34/'Cost &amp; Benefit Inputs'!Z34)*D37,0)</f>
        <v>0</v>
      </c>
      <c r="K37" s="166">
        <f t="shared" si="4"/>
        <v>0</v>
      </c>
      <c r="L37" s="165"/>
      <c r="M37" s="166">
        <f>IFERROR(('Cost &amp; Benefit Inputs'!AE34/'Cost &amp; Benefit Inputs'!P34)*' Recommended Portfolio'!D37,0)</f>
        <v>0</v>
      </c>
      <c r="N37" s="166">
        <f>IFERROR(('Cost &amp; Benefit Inputs'!AF34/'Cost &amp; Benefit Inputs'!P34)*' Recommended Portfolio'!D37,0)</f>
        <v>0</v>
      </c>
      <c r="O37" s="166">
        <f t="shared" si="5"/>
        <v>0</v>
      </c>
      <c r="Q37" s="166">
        <f>'Cost &amp; Benefit Inputs'!P34</f>
        <v>0</v>
      </c>
      <c r="R37" s="173" t="str">
        <f>IFERROR(D37/'Cost &amp; Benefit Inputs'!P34,"")</f>
        <v/>
      </c>
    </row>
    <row r="38" spans="1:18" hidden="1" x14ac:dyDescent="0.2">
      <c r="A38" s="128" t="s">
        <v>135</v>
      </c>
      <c r="B38" s="268">
        <f>VLOOKUP($A38,'Scoring Inputs'!$A:$AH,2,0)</f>
        <v>0</v>
      </c>
      <c r="D38" s="229"/>
      <c r="F38" s="230">
        <f>IFERROR(D38/('Cost &amp; Benefit Inputs'!P35/'Cost &amp; Benefit Inputs'!G35),0)</f>
        <v>0</v>
      </c>
      <c r="G38" s="167" t="str">
        <f>'Cost &amp; Benefit Inputs'!Q35</f>
        <v/>
      </c>
      <c r="H38" s="166">
        <f t="shared" si="3"/>
        <v>0</v>
      </c>
      <c r="J38" s="166">
        <f>IFERROR(('Cost &amp; Benefit Inputs'!AB35/'Cost &amp; Benefit Inputs'!Z35)*D38,0)</f>
        <v>0</v>
      </c>
      <c r="K38" s="166">
        <f t="shared" si="4"/>
        <v>0</v>
      </c>
      <c r="L38" s="165"/>
      <c r="M38" s="166">
        <f>IFERROR(('Cost &amp; Benefit Inputs'!AE35/'Cost &amp; Benefit Inputs'!P35)*' Recommended Portfolio'!D38,0)</f>
        <v>0</v>
      </c>
      <c r="N38" s="166">
        <f>IFERROR(('Cost &amp; Benefit Inputs'!AF35/'Cost &amp; Benefit Inputs'!P35)*' Recommended Portfolio'!D38,0)</f>
        <v>0</v>
      </c>
      <c r="O38" s="166">
        <f t="shared" si="5"/>
        <v>0</v>
      </c>
      <c r="Q38" s="166">
        <f>'Cost &amp; Benefit Inputs'!P35</f>
        <v>0</v>
      </c>
      <c r="R38" s="173" t="str">
        <f>IFERROR(D38/'Cost &amp; Benefit Inputs'!P35,"")</f>
        <v/>
      </c>
    </row>
    <row r="39" spans="1:18" hidden="1" x14ac:dyDescent="0.2">
      <c r="A39" s="128" t="s">
        <v>136</v>
      </c>
      <c r="B39" s="131">
        <f>VLOOKUP($A39,'Scoring Inputs'!$A:$AH,2,0)</f>
        <v>0</v>
      </c>
      <c r="D39" s="229">
        <v>0</v>
      </c>
      <c r="F39" s="230">
        <f>IFERROR(D39/('Cost &amp; Benefit Inputs'!P36/'Cost &amp; Benefit Inputs'!G36),0)</f>
        <v>0</v>
      </c>
      <c r="G39" s="167" t="str">
        <f>'Cost &amp; Benefit Inputs'!Q36</f>
        <v/>
      </c>
      <c r="H39" s="166">
        <f t="shared" si="3"/>
        <v>0</v>
      </c>
      <c r="J39" s="166">
        <f>IFERROR(('Cost &amp; Benefit Inputs'!AB36/'Cost &amp; Benefit Inputs'!Z36)*D39,0)</f>
        <v>0</v>
      </c>
      <c r="K39" s="166">
        <f t="shared" si="4"/>
        <v>0</v>
      </c>
      <c r="L39" s="165"/>
      <c r="M39" s="166">
        <f>IFERROR(('Cost &amp; Benefit Inputs'!AE36/'Cost &amp; Benefit Inputs'!P36)*' Recommended Portfolio'!D39,0)</f>
        <v>0</v>
      </c>
      <c r="N39" s="166">
        <f>IFERROR(('Cost &amp; Benefit Inputs'!AF36/'Cost &amp; Benefit Inputs'!P36)*' Recommended Portfolio'!D39,0)</f>
        <v>0</v>
      </c>
      <c r="O39" s="166">
        <f t="shared" si="5"/>
        <v>0</v>
      </c>
      <c r="Q39" s="166">
        <f>'Cost &amp; Benefit Inputs'!P36</f>
        <v>0</v>
      </c>
      <c r="R39" s="173" t="str">
        <f>IFERROR(D39/'Cost &amp; Benefit Inputs'!P36,"")</f>
        <v/>
      </c>
    </row>
    <row r="40" spans="1:18" hidden="1" x14ac:dyDescent="0.2">
      <c r="A40" s="128" t="s">
        <v>137</v>
      </c>
      <c r="B40" s="267">
        <f>VLOOKUP($A40,'Scoring Inputs'!$A:$AH,2,0)</f>
        <v>0</v>
      </c>
      <c r="D40" s="229"/>
      <c r="F40" s="230">
        <f>IFERROR(D40/('Cost &amp; Benefit Inputs'!P37/'Cost &amp; Benefit Inputs'!G37),0)</f>
        <v>0</v>
      </c>
      <c r="G40" s="167" t="str">
        <f>'Cost &amp; Benefit Inputs'!Q37</f>
        <v/>
      </c>
      <c r="H40" s="166">
        <f t="shared" si="3"/>
        <v>0</v>
      </c>
      <c r="J40" s="166">
        <f>IFERROR(('Cost &amp; Benefit Inputs'!AB37/'Cost &amp; Benefit Inputs'!Z37)*D40,0)</f>
        <v>0</v>
      </c>
      <c r="K40" s="166">
        <f t="shared" si="4"/>
        <v>0</v>
      </c>
      <c r="L40" s="165"/>
      <c r="M40" s="166">
        <f>IFERROR(('Cost &amp; Benefit Inputs'!AE37/'Cost &amp; Benefit Inputs'!P37)*' Recommended Portfolio'!D40,0)</f>
        <v>0</v>
      </c>
      <c r="N40" s="166">
        <f>IFERROR(('Cost &amp; Benefit Inputs'!AF37/'Cost &amp; Benefit Inputs'!P37)*' Recommended Portfolio'!D40,0)</f>
        <v>0</v>
      </c>
      <c r="O40" s="166">
        <f t="shared" si="5"/>
        <v>0</v>
      </c>
      <c r="Q40" s="166">
        <f>'Cost &amp; Benefit Inputs'!P37</f>
        <v>0</v>
      </c>
      <c r="R40" s="173" t="str">
        <f>IFERROR(D40/'Cost &amp; Benefit Inputs'!P37,"")</f>
        <v/>
      </c>
    </row>
    <row r="41" spans="1:18" hidden="1" x14ac:dyDescent="0.2">
      <c r="A41" s="130" t="s">
        <v>232</v>
      </c>
      <c r="B41" s="131">
        <f>VLOOKUP($A41,'Scoring Inputs'!$A:$AH,2,0)</f>
        <v>0</v>
      </c>
      <c r="D41" s="229">
        <f t="shared" ref="D41:D42" si="7">Q41</f>
        <v>0</v>
      </c>
      <c r="F41" s="230">
        <f>IFERROR(D41/('Cost &amp; Benefit Inputs'!P38/'Cost &amp; Benefit Inputs'!G38),0)</f>
        <v>0</v>
      </c>
      <c r="G41" s="167" t="str">
        <f>'Cost &amp; Benefit Inputs'!Q38</f>
        <v/>
      </c>
      <c r="H41" s="166">
        <f t="shared" si="3"/>
        <v>0</v>
      </c>
      <c r="J41" s="166">
        <f>IFERROR(('Cost &amp; Benefit Inputs'!AB38/'Cost &amp; Benefit Inputs'!Z38)*D41,0)</f>
        <v>0</v>
      </c>
      <c r="K41" s="166">
        <f t="shared" si="4"/>
        <v>0</v>
      </c>
      <c r="L41" s="165"/>
      <c r="M41" s="166">
        <f>IFERROR(('Cost &amp; Benefit Inputs'!AE38/'Cost &amp; Benefit Inputs'!P38)*' Recommended Portfolio'!D41,0)</f>
        <v>0</v>
      </c>
      <c r="N41" s="166">
        <f>IFERROR(('Cost &amp; Benefit Inputs'!AF38/'Cost &amp; Benefit Inputs'!P38)*' Recommended Portfolio'!D41,0)</f>
        <v>0</v>
      </c>
      <c r="O41" s="166">
        <f t="shared" si="5"/>
        <v>0</v>
      </c>
      <c r="Q41" s="166">
        <f>'Cost &amp; Benefit Inputs'!P38</f>
        <v>0</v>
      </c>
      <c r="R41" s="173" t="str">
        <f>IFERROR(D41/'Cost &amp; Benefit Inputs'!P38,"")</f>
        <v/>
      </c>
    </row>
    <row r="42" spans="1:18" ht="17" hidden="1" thickBot="1" x14ac:dyDescent="0.25">
      <c r="A42" s="132" t="s">
        <v>237</v>
      </c>
      <c r="B42" s="133">
        <f>VLOOKUP($A42,'Scoring Inputs'!$A:$AH,2,0)</f>
        <v>0</v>
      </c>
      <c r="D42" s="229">
        <f t="shared" si="7"/>
        <v>0</v>
      </c>
      <c r="F42" s="230">
        <f>IFERROR(D42/('Cost &amp; Benefit Inputs'!P39/'Cost &amp; Benefit Inputs'!G39),0)</f>
        <v>0</v>
      </c>
      <c r="G42" s="167" t="str">
        <f>'Cost &amp; Benefit Inputs'!Q39</f>
        <v/>
      </c>
      <c r="H42" s="166">
        <f t="shared" si="3"/>
        <v>0</v>
      </c>
      <c r="J42" s="166">
        <f>IFERROR(('Cost &amp; Benefit Inputs'!AB39/'Cost &amp; Benefit Inputs'!Z39)*D42,0)</f>
        <v>0</v>
      </c>
      <c r="K42" s="166">
        <f t="shared" si="4"/>
        <v>0</v>
      </c>
      <c r="L42" s="165"/>
      <c r="M42" s="166">
        <f>IFERROR(('Cost &amp; Benefit Inputs'!AE39/'Cost &amp; Benefit Inputs'!P39)*' Recommended Portfolio'!D42,0)</f>
        <v>0</v>
      </c>
      <c r="N42" s="166">
        <f>IFERROR(('Cost &amp; Benefit Inputs'!AF39/'Cost &amp; Benefit Inputs'!P39)*' Recommended Portfolio'!D42,0)</f>
        <v>0</v>
      </c>
      <c r="O42" s="166">
        <f t="shared" si="5"/>
        <v>0</v>
      </c>
      <c r="Q42" s="168">
        <f>'Cost &amp; Benefit Inputs'!P39</f>
        <v>0</v>
      </c>
      <c r="R42" s="174" t="str">
        <f>IFERROR(D42/'Cost &amp; Benefit Inputs'!P39,"")</f>
        <v/>
      </c>
    </row>
    <row r="43" spans="1:18" x14ac:dyDescent="0.2">
      <c r="F43" s="298"/>
      <c r="G43" s="298"/>
      <c r="H43" s="298"/>
      <c r="I43" s="298"/>
      <c r="J43" s="298"/>
      <c r="K43" s="298"/>
      <c r="L43" s="298"/>
      <c r="M43" s="299"/>
      <c r="N43" s="299"/>
      <c r="O43" s="298"/>
      <c r="Q43" s="298"/>
      <c r="R43" s="298"/>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BE44"/>
  <sheetViews>
    <sheetView showGridLines="0" workbookViewId="0">
      <pane xSplit="3" ySplit="10" topLeftCell="D11" activePane="bottomRight" state="frozen"/>
      <selection pane="topRight" activeCell="D1" sqref="D1"/>
      <selection pane="bottomLeft" activeCell="A11" sqref="A11"/>
      <selection pane="bottomRight" activeCell="Y25" sqref="Y25"/>
    </sheetView>
  </sheetViews>
  <sheetFormatPr baseColWidth="10" defaultColWidth="11" defaultRowHeight="16" x14ac:dyDescent="0.2"/>
  <cols>
    <col min="1" max="1" width="10.6640625" style="4" customWidth="1"/>
    <col min="2" max="2" width="41.6640625" customWidth="1"/>
    <col min="3" max="3" width="25.83203125" customWidth="1"/>
    <col min="4" max="4" width="1.33203125" customWidth="1"/>
    <col min="5" max="5" width="5.83203125" customWidth="1"/>
    <col min="6" max="6" width="1.5" customWidth="1"/>
    <col min="7" max="7" width="7.5" customWidth="1"/>
    <col min="8" max="8" width="6.5" customWidth="1"/>
    <col min="9" max="9" width="1.33203125" customWidth="1"/>
    <col min="10" max="10" width="5.1640625" customWidth="1"/>
    <col min="11" max="13" width="6.5" customWidth="1"/>
    <col min="14" max="14" width="4.5" hidden="1" customWidth="1"/>
    <col min="15" max="15" width="7.33203125" hidden="1" customWidth="1"/>
    <col min="16" max="16" width="8" hidden="1" customWidth="1"/>
    <col min="17" max="17" width="2.6640625" style="200" customWidth="1"/>
    <col min="18" max="18" width="8" style="200" customWidth="1"/>
    <col min="19" max="19" width="3.6640625" customWidth="1"/>
    <col min="20" max="20" width="10.6640625" style="3" customWidth="1"/>
    <col min="21" max="21" width="6" customWidth="1"/>
    <col min="22" max="22" width="3.6640625" customWidth="1"/>
    <col min="23" max="23" width="4.33203125" style="4" customWidth="1"/>
    <col min="24" max="24" width="3" customWidth="1"/>
    <col min="25" max="25" width="5.5" customWidth="1"/>
    <col min="29" max="29" width="12.1640625" bestFit="1" customWidth="1"/>
    <col min="30" max="30" width="11.83203125" customWidth="1"/>
    <col min="31" max="32" width="13.6640625" bestFit="1" customWidth="1"/>
    <col min="33" max="33" width="14.5" bestFit="1" customWidth="1"/>
    <col min="34" max="35" width="13.6640625" bestFit="1" customWidth="1"/>
    <col min="36" max="36" width="11.83203125" bestFit="1" customWidth="1"/>
    <col min="38" max="38" width="13.6640625" hidden="1" customWidth="1"/>
    <col min="39" max="39" width="11.1640625" hidden="1" customWidth="1"/>
    <col min="40" max="40" width="5.83203125" hidden="1" customWidth="1"/>
    <col min="41" max="41" width="8.6640625" hidden="1" customWidth="1"/>
    <col min="42" max="42" width="15.83203125" hidden="1" customWidth="1"/>
    <col min="43" max="43" width="11.1640625" hidden="1" customWidth="1"/>
    <col min="44" max="44" width="3.33203125" customWidth="1"/>
    <col min="45" max="45" width="13.5" bestFit="1" customWidth="1"/>
    <col min="46" max="46" width="12.5" bestFit="1" customWidth="1"/>
    <col min="47" max="47" width="2.1640625" customWidth="1"/>
    <col min="48" max="48" width="13.6640625" bestFit="1" customWidth="1"/>
    <col min="49" max="50" width="11.1640625" bestFit="1" customWidth="1"/>
    <col min="52" max="52" width="13.6640625" bestFit="1" customWidth="1"/>
    <col min="53" max="53" width="11.1640625" bestFit="1" customWidth="1"/>
    <col min="54" max="55" width="13.6640625" bestFit="1" customWidth="1"/>
    <col min="56" max="56" width="11.33203125" bestFit="1" customWidth="1"/>
  </cols>
  <sheetData>
    <row r="1" spans="1:57" ht="24" x14ac:dyDescent="0.3">
      <c r="B1" s="1" t="s">
        <v>0</v>
      </c>
      <c r="C1" s="1"/>
      <c r="P1" s="32"/>
      <c r="Q1" s="199"/>
      <c r="R1" s="199"/>
      <c r="S1" s="138"/>
      <c r="T1" s="205"/>
      <c r="U1" s="206"/>
      <c r="V1" s="8"/>
      <c r="W1" s="1"/>
    </row>
    <row r="2" spans="1:57" ht="17" thickBot="1" x14ac:dyDescent="0.25">
      <c r="B2" s="231" t="s">
        <v>21</v>
      </c>
      <c r="H2" s="2" t="s">
        <v>210</v>
      </c>
      <c r="J2" s="200"/>
      <c r="K2" s="200"/>
      <c r="L2" s="8"/>
      <c r="M2" s="8"/>
      <c r="T2" s="8"/>
      <c r="U2" s="8"/>
      <c r="V2" s="8"/>
      <c r="W2"/>
      <c r="Z2" s="28"/>
    </row>
    <row r="3" spans="1:57" ht="19" x14ac:dyDescent="0.25">
      <c r="B3" s="231">
        <v>100</v>
      </c>
      <c r="C3" s="184" t="s">
        <v>205</v>
      </c>
      <c r="D3" s="184"/>
      <c r="H3" s="5"/>
      <c r="I3" s="134" t="s">
        <v>197</v>
      </c>
      <c r="J3" s="141" t="s">
        <v>198</v>
      </c>
      <c r="K3" s="6">
        <v>0</v>
      </c>
      <c r="L3" s="142"/>
      <c r="M3" s="142"/>
      <c r="T3" s="8"/>
      <c r="U3" s="8"/>
      <c r="V3" s="8"/>
      <c r="Z3" s="35"/>
      <c r="AB3" s="29"/>
    </row>
    <row r="4" spans="1:57" x14ac:dyDescent="0.2">
      <c r="H4" s="7"/>
      <c r="I4" s="135" t="s">
        <v>185</v>
      </c>
      <c r="J4" s="138" t="s">
        <v>198</v>
      </c>
      <c r="K4" s="177">
        <f>1/3</f>
        <v>0.33333333333333331</v>
      </c>
      <c r="L4" s="138"/>
      <c r="M4" s="138"/>
      <c r="T4" s="182"/>
      <c r="U4" s="182"/>
      <c r="V4" s="8"/>
      <c r="Z4" s="35"/>
      <c r="AB4" s="29"/>
    </row>
    <row r="5" spans="1:57" x14ac:dyDescent="0.2">
      <c r="H5" s="7"/>
      <c r="I5" s="136" t="s">
        <v>191</v>
      </c>
      <c r="J5" s="142" t="s">
        <v>198</v>
      </c>
      <c r="K5" s="178">
        <f>2/3</f>
        <v>0.66666666666666663</v>
      </c>
      <c r="L5" s="142"/>
      <c r="M5" s="142"/>
      <c r="T5" s="183"/>
      <c r="U5" s="183"/>
      <c r="V5" s="8"/>
      <c r="Z5" s="35"/>
      <c r="AB5" s="8"/>
    </row>
    <row r="6" spans="1:57" ht="17" thickBot="1" x14ac:dyDescent="0.25">
      <c r="H6" s="9"/>
      <c r="I6" s="137" t="s">
        <v>184</v>
      </c>
      <c r="J6" s="143" t="s">
        <v>198</v>
      </c>
      <c r="K6" s="179">
        <v>1</v>
      </c>
      <c r="L6" s="142"/>
      <c r="M6" s="142"/>
      <c r="T6" s="183"/>
      <c r="U6" s="183"/>
      <c r="V6" s="8"/>
    </row>
    <row r="7" spans="1:57" ht="17" thickBot="1" x14ac:dyDescent="0.25">
      <c r="D7" s="8"/>
      <c r="E7" s="10"/>
      <c r="G7" s="8"/>
      <c r="H7" s="8"/>
      <c r="I7" s="8"/>
      <c r="J7" s="8"/>
      <c r="K7" s="8"/>
      <c r="L7" s="8"/>
      <c r="M7" s="8"/>
      <c r="N7" s="8"/>
      <c r="O7" s="8"/>
      <c r="U7" s="8"/>
      <c r="V7" s="8"/>
      <c r="AB7" s="95"/>
    </row>
    <row r="8" spans="1:57" ht="166" customHeight="1" thickBot="1" x14ac:dyDescent="0.25">
      <c r="A8" s="125" t="s">
        <v>1</v>
      </c>
      <c r="B8" s="232" t="s">
        <v>2</v>
      </c>
      <c r="C8" s="233" t="s">
        <v>138</v>
      </c>
      <c r="E8" s="194" t="str">
        <f>'Scoring Inputs'!D4&amp;" Met?"</f>
        <v>"But For" Test Met?</v>
      </c>
      <c r="G8" s="212" t="str">
        <f>'Scoring Inputs'!J4</f>
        <v>NSB Ratio</v>
      </c>
      <c r="H8" s="244" t="str">
        <f>'Scoring Inputs'!L4</f>
        <v>Probability of Success in Delivering NSB</v>
      </c>
      <c r="J8" s="294" t="str">
        <f>'Scoring Inputs'!N4</f>
        <v>Collaboration Partnership Strength or Other Stakeholder Support</v>
      </c>
      <c r="K8" s="213" t="str">
        <f>'Scoring Inputs'!R4</f>
        <v>% of GMP Funds Leveraged</v>
      </c>
      <c r="L8" s="214" t="s">
        <v>282</v>
      </c>
      <c r="M8" s="214" t="s">
        <v>219</v>
      </c>
      <c r="N8" s="249" t="str">
        <f>'Scoring Inputs'!P4</f>
        <v>% of Costs Spent on Measures</v>
      </c>
      <c r="O8" s="213" t="str">
        <f>'Scoring Inputs'!T4</f>
        <v xml:space="preserve">2017 Spending by Energy Source </v>
      </c>
      <c r="P8" s="214" t="str">
        <f>'Scoring Inputs'!W4</f>
        <v>2017 Customer Spending Distribution</v>
      </c>
      <c r="Q8" s="201"/>
      <c r="R8" s="296" t="s">
        <v>208</v>
      </c>
      <c r="T8" s="149" t="s">
        <v>3</v>
      </c>
      <c r="U8" s="11" t="s">
        <v>206</v>
      </c>
      <c r="V8" s="150"/>
      <c r="W8" s="149" t="s">
        <v>265</v>
      </c>
      <c r="Y8" s="295" t="s">
        <v>266</v>
      </c>
      <c r="AB8" s="156" t="str">
        <f>'Cost &amp; Benefit Inputs'!G6</f>
        <v># Participants</v>
      </c>
      <c r="AC8" s="156" t="str">
        <f>'Cost &amp; Benefit Inputs'!I6</f>
        <v>Program _x000D_(Non-Incentive) Costs</v>
      </c>
      <c r="AD8" s="156" t="str">
        <f>'Cost &amp; Benefit Inputs'!K6</f>
        <v>PV of Societal Non-Incentive (Program) Costs</v>
      </c>
      <c r="AE8" s="156" t="str">
        <f>'Cost &amp; Benefit Inputs'!L6</f>
        <v xml:space="preserve">PV of Societal (Measure) Costs </v>
      </c>
      <c r="AF8" s="156" t="str">
        <f>'Cost &amp; Benefit Inputs'!M6</f>
        <v>PV of Societal (Program &amp; Measure) Costs</v>
      </c>
      <c r="AG8" s="156" t="str">
        <f>'Cost &amp; Benefit Inputs'!N6</f>
        <v>PV of Societal (Measure) Benefits</v>
      </c>
      <c r="AH8" s="156" t="str">
        <f>'Cost &amp; Benefit Inputs'!O6</f>
        <v>Net _x000D_Societal _x000D_Benefits</v>
      </c>
      <c r="AI8" s="156" t="str">
        <f>'Cost &amp; Benefit Inputs'!P6</f>
        <v>GMP 2017 Investment</v>
      </c>
      <c r="AJ8" s="156" t="str">
        <f>'Cost &amp; Benefit Inputs'!Q6</f>
        <v>GMP NSB Ratio</v>
      </c>
      <c r="AK8" s="157"/>
      <c r="AL8" s="156">
        <f>'Cost &amp; Benefit Inputs'!U6</f>
        <v>2013</v>
      </c>
      <c r="AM8" s="156">
        <f>'Cost &amp; Benefit Inputs'!V6</f>
        <v>2014</v>
      </c>
      <c r="AN8" s="156">
        <f>'Cost &amp; Benefit Inputs'!W6</f>
        <v>2015</v>
      </c>
      <c r="AO8" s="156">
        <f>'Cost &amp; Benefit Inputs'!X6</f>
        <v>2016</v>
      </c>
      <c r="AP8" s="156">
        <f>'Cost &amp; Benefit Inputs'!Y6</f>
        <v>2017</v>
      </c>
      <c r="AQ8" s="156" t="str">
        <f>'Cost &amp; Benefit Inputs'!Z6</f>
        <v>Total</v>
      </c>
      <c r="AR8" s="157"/>
      <c r="AS8" s="169" t="str">
        <f>'Cost &amp; Benefit Inputs'!AB6</f>
        <v>Non-Electric</v>
      </c>
      <c r="AT8" s="169" t="str">
        <f>'Cost &amp; Benefit Inputs'!AC6</f>
        <v>Electric</v>
      </c>
      <c r="AU8" s="158"/>
      <c r="AV8" s="169" t="str">
        <f>'Cost &amp; Benefit Inputs'!AE6</f>
        <v>Residential</v>
      </c>
      <c r="AW8" s="169" t="str">
        <f>'Cost &amp; Benefit Inputs'!AF6</f>
        <v>Commercial</v>
      </c>
      <c r="AX8" s="169" t="str">
        <f>'Cost &amp; Benefit Inputs'!AG6</f>
        <v>Industrial</v>
      </c>
      <c r="AY8" s="157"/>
      <c r="AZ8" s="156" t="str">
        <f>'Cost &amp; Benefit Inputs'!AI6</f>
        <v>Participant 2017 Investment</v>
      </c>
      <c r="BA8" s="156" t="str">
        <f>'Cost &amp; Benefit Inputs'!AJ6</f>
        <v>Third Party 2017 Investment</v>
      </c>
      <c r="BB8" s="156" t="str">
        <f>'Cost &amp; Benefit Inputs'!AK6</f>
        <v>GMP 2017 Investment</v>
      </c>
      <c r="BC8" s="156" t="str">
        <f>'Cost &amp; Benefit Inputs'!AL6</f>
        <v>Total 2017 Investment</v>
      </c>
      <c r="BD8" s="156" t="str">
        <f>'Cost &amp; Benefit Inputs'!AM6</f>
        <v>% GMP Investment Leveraged</v>
      </c>
      <c r="BE8" s="17"/>
    </row>
    <row r="9" spans="1:57" ht="19" x14ac:dyDescent="0.25">
      <c r="A9" s="127"/>
      <c r="B9" s="236"/>
      <c r="C9" s="234" t="s">
        <v>203</v>
      </c>
      <c r="D9" s="187"/>
      <c r="E9" s="195"/>
      <c r="G9" s="215">
        <f>G10*MAX_Points</f>
        <v>30</v>
      </c>
      <c r="H9" s="245">
        <f>H10*MAX_Points</f>
        <v>30</v>
      </c>
      <c r="I9" s="187"/>
      <c r="J9" s="253">
        <f t="shared" ref="J9:P9" si="0">J10*MAX_Points</f>
        <v>10</v>
      </c>
      <c r="K9" s="211">
        <f t="shared" si="0"/>
        <v>5</v>
      </c>
      <c r="L9" s="216">
        <f t="shared" si="0"/>
        <v>10</v>
      </c>
      <c r="M9" s="216">
        <f t="shared" si="0"/>
        <v>5</v>
      </c>
      <c r="N9" s="250">
        <f t="shared" si="0"/>
        <v>0</v>
      </c>
      <c r="O9" s="211">
        <f t="shared" si="0"/>
        <v>0</v>
      </c>
      <c r="P9" s="216">
        <f t="shared" si="0"/>
        <v>0</v>
      </c>
      <c r="Q9" s="202"/>
      <c r="R9" s="207">
        <f>R10*MAX_Points</f>
        <v>10</v>
      </c>
      <c r="S9" s="188"/>
      <c r="T9" s="189">
        <f>SUM(G9:R9)</f>
        <v>100</v>
      </c>
      <c r="U9" s="181"/>
      <c r="V9" s="150"/>
      <c r="W9" s="181"/>
      <c r="Y9" s="151"/>
      <c r="AA9" s="32" t="s">
        <v>202</v>
      </c>
      <c r="AB9" s="159">
        <f t="shared" ref="AB9:AI9" si="1">SUM(AB11:AB42)</f>
        <v>425.18506751685015</v>
      </c>
      <c r="AC9" s="160">
        <f t="shared" si="1"/>
        <v>768548.3990937206</v>
      </c>
      <c r="AD9" s="160">
        <f t="shared" si="1"/>
        <v>691693.55918434856</v>
      </c>
      <c r="AE9" s="160">
        <f t="shared" si="1"/>
        <v>1956584.8122825541</v>
      </c>
      <c r="AF9" s="160">
        <f t="shared" si="1"/>
        <v>2648278.3714669026</v>
      </c>
      <c r="AG9" s="160">
        <f t="shared" si="1"/>
        <v>6160553.0259801401</v>
      </c>
      <c r="AH9" s="160">
        <f t="shared" si="1"/>
        <v>3512274.654513238</v>
      </c>
      <c r="AI9" s="160">
        <f t="shared" si="1"/>
        <v>1311954.557600057</v>
      </c>
      <c r="AJ9" s="161">
        <f>AH9/AI9</f>
        <v>2.6771313336783558</v>
      </c>
      <c r="AK9" s="33"/>
      <c r="AL9" s="160">
        <f t="shared" ref="AL9:AQ9" si="2">SUM(AL11:AL42)</f>
        <v>0</v>
      </c>
      <c r="AM9" s="160">
        <f t="shared" si="2"/>
        <v>0</v>
      </c>
      <c r="AN9" s="160">
        <f t="shared" si="2"/>
        <v>0</v>
      </c>
      <c r="AO9" s="160">
        <f t="shared" si="2"/>
        <v>0</v>
      </c>
      <c r="AP9" s="160">
        <f t="shared" si="2"/>
        <v>1437180.5608484559</v>
      </c>
      <c r="AQ9" s="160">
        <f t="shared" si="2"/>
        <v>1437180.5608484559</v>
      </c>
      <c r="AR9" s="34"/>
      <c r="AS9" s="160">
        <f>SUM(AS11:AS42)</f>
        <v>619660</v>
      </c>
      <c r="AT9" s="160">
        <f>SUM(AT11:AT42)</f>
        <v>692294.55760005699</v>
      </c>
      <c r="AU9" s="170"/>
      <c r="AV9" s="160">
        <f>SUM(AV11:AV42)</f>
        <v>517893.55760005693</v>
      </c>
      <c r="AW9" s="160">
        <f>SUM(AW11:AW42)</f>
        <v>794061</v>
      </c>
      <c r="AX9" s="160">
        <f>SUM(AX11:AX42)</f>
        <v>0</v>
      </c>
      <c r="AY9" s="34"/>
      <c r="AZ9" s="160">
        <f>SUM(AZ11:AZ42)</f>
        <v>2101615.1729440866</v>
      </c>
      <c r="BA9" s="160">
        <f>SUM(BA11:BA42)</f>
        <v>431961.79330797063</v>
      </c>
      <c r="BB9" s="160">
        <f>SUM(BB11:BB42)</f>
        <v>1311954.557600057</v>
      </c>
      <c r="BC9" s="160">
        <f>SUM(BC11:BC42)</f>
        <v>3845531.5238521141</v>
      </c>
      <c r="BD9" s="171">
        <f>(AZ9+BA9)/BB9</f>
        <v>1.9311468919218513</v>
      </c>
      <c r="BE9" s="17"/>
    </row>
    <row r="10" spans="1:57" ht="17" thickBot="1" x14ac:dyDescent="0.25">
      <c r="A10" s="190"/>
      <c r="B10" s="237"/>
      <c r="C10" s="235" t="s">
        <v>204</v>
      </c>
      <c r="D10" s="155"/>
      <c r="E10" s="196"/>
      <c r="G10" s="210">
        <v>0.3</v>
      </c>
      <c r="H10" s="218">
        <v>0.3</v>
      </c>
      <c r="I10" s="155"/>
      <c r="J10" s="258">
        <v>0.1</v>
      </c>
      <c r="K10" s="257">
        <v>0.05</v>
      </c>
      <c r="L10" s="259">
        <v>0.1</v>
      </c>
      <c r="M10" s="259">
        <v>0.05</v>
      </c>
      <c r="N10" s="243">
        <v>0</v>
      </c>
      <c r="O10" s="217">
        <v>0</v>
      </c>
      <c r="P10" s="218">
        <v>0</v>
      </c>
      <c r="Q10" s="203"/>
      <c r="R10" s="210">
        <v>0.1</v>
      </c>
      <c r="S10" s="180"/>
      <c r="T10" s="192">
        <f>SUM(G10:R10)</f>
        <v>1</v>
      </c>
      <c r="U10" s="193"/>
      <c r="W10" s="193"/>
      <c r="X10" s="32"/>
      <c r="Y10" s="152"/>
      <c r="Z10" s="32"/>
      <c r="AA10" s="155"/>
      <c r="AB10" s="162"/>
      <c r="AC10" s="163"/>
      <c r="AD10" s="163"/>
      <c r="AE10" s="163"/>
      <c r="AF10" s="163"/>
      <c r="AG10" s="163"/>
      <c r="AH10" s="163"/>
      <c r="AI10" s="163"/>
      <c r="AJ10" s="164"/>
      <c r="AK10" s="153"/>
      <c r="AL10" s="163"/>
      <c r="AM10" s="163"/>
      <c r="AN10" s="163"/>
      <c r="AO10" s="163"/>
      <c r="AP10" s="163"/>
      <c r="AQ10" s="163"/>
      <c r="AR10" s="154"/>
      <c r="AS10" s="163"/>
      <c r="AT10" s="163"/>
      <c r="AU10" s="165"/>
      <c r="AV10" s="163"/>
      <c r="AW10" s="163"/>
      <c r="AX10" s="163"/>
      <c r="AY10" s="154"/>
      <c r="AZ10" s="163"/>
      <c r="BA10" s="163"/>
      <c r="BB10" s="163"/>
      <c r="BC10" s="163"/>
      <c r="BD10" s="172"/>
      <c r="BE10" s="33"/>
    </row>
    <row r="11" spans="1:57" ht="21" customHeight="1" thickTop="1" x14ac:dyDescent="0.2">
      <c r="A11" s="128" t="s">
        <v>108</v>
      </c>
      <c r="B11" s="239" t="str">
        <f>VLOOKUP($A11,'Scoring Inputs'!$A:$AH,2,0)</f>
        <v>ELECTRIC PROGRAMS</v>
      </c>
      <c r="C11" s="176" t="str">
        <f>VLOOKUP($A11,'Scoring Inputs'!$A:$AH,3,0)</f>
        <v xml:space="preserve"> </v>
      </c>
      <c r="E11" s="197" t="str">
        <f>IF(ISBLANK(VLOOKUP($A11,'Scoring Inputs'!$A:$AH,4,0)),"",VLOOKUP($A11,'Scoring Inputs'!$A:$AH,4,0))</f>
        <v/>
      </c>
      <c r="G11" s="12" t="str">
        <f>IF(VLOOKUP($A11,'Scoring Inputs'!$A:$AH,10,0)="","",G$9*VLOOKUP(VLOOKUP($A11,'Scoring Inputs'!$A:$AH,10,0),RANK_TABLE,3,0))</f>
        <v/>
      </c>
      <c r="H11" s="246" t="str">
        <f>IF(VLOOKUP($A11,'Scoring Inputs'!$A:$AH,12,0)="","",$H$9*VLOOKUP(VLOOKUP($A11,'Scoring Inputs'!$A:$AH,12,0),RANK_TABLE,3,0))</f>
        <v/>
      </c>
      <c r="J11" s="254" t="str">
        <f>IF(VLOOKUP($A11,'Scoring Inputs'!$A:$AH,14,0)="","",$H$9*VLOOKUP(VLOOKUP($A11,'Scoring Inputs'!$A:$AH,14,0),RANK_TABLE,3,0))</f>
        <v/>
      </c>
      <c r="K11" s="13" t="str">
        <f>IF(VLOOKUP($A11,'Scoring Inputs'!$A:$AH,18,0)="","",$K$9*VLOOKUP(VLOOKUP($A11,'Scoring Inputs'!$A:$AH,18,0),RANK_TABLE,3,0))</f>
        <v/>
      </c>
      <c r="L11" s="139" t="str">
        <f>IF(VLOOKUP($A11,'Scoring Inputs'!$A:$AH,6,0)="","",ROUND(VLOOKUP($A11,'Scoring Inputs'!$A:$AH,6,0)*L$9,0))</f>
        <v/>
      </c>
      <c r="M11" s="139" t="str">
        <f>IF(VLOOKUP($A11,'Scoring Inputs'!$A:$AH,6,0)="","",ROUND(VLOOKUP($A11,'Scoring Inputs'!$A:$AH,6,0)*M$9,0))</f>
        <v/>
      </c>
      <c r="N11" s="251" t="str">
        <f>IF(VLOOKUP($A11,'Scoring Inputs'!$A:$AH,16,0)="","",$N$9*VLOOKUP(VLOOKUP($A11,'Scoring Inputs'!$A:$AH,16,0),RANK_TABLE,3,0))</f>
        <v/>
      </c>
      <c r="O11" s="13" t="str">
        <f>IF(VLOOKUP($A11,'Scoring Inputs'!$A:$AH,20,0)="","",$O$9*VLOOKUP(VLOOKUP($A11,'Scoring Inputs'!$A:$AH,20,0),RANK_TABLE,3,0))</f>
        <v/>
      </c>
      <c r="P11" s="139" t="str">
        <f>IF(VLOOKUP($A11,'Scoring Inputs'!$A:$AH,23,0)="","",$P$9*VLOOKUP(VLOOKUP($A11,'Scoring Inputs'!$A:$AH,23,0),RANK_TABLE,3,0))</f>
        <v/>
      </c>
      <c r="Q11" s="204"/>
      <c r="R11" s="208">
        <f>IF(VLOOKUP($A11,'Scoring Inputs'!$A:$BF,28,0)="","",$R$9*VLOOKUP($A11,'Scoring Inputs'!$A:$BF,28,0))</f>
        <v>0</v>
      </c>
      <c r="T11" s="256">
        <f>SUM(F11:S11)</f>
        <v>0</v>
      </c>
      <c r="U11" s="185">
        <f t="shared" ref="U11:U19" si="3">T11/MAX_Points</f>
        <v>0</v>
      </c>
      <c r="W11" s="256"/>
      <c r="Y11" s="147">
        <v>0</v>
      </c>
      <c r="AB11" s="165" t="str">
        <f>IF($Y11&lt;&gt;0,'Cost &amp; Benefit Inputs'!G8*$Y11,"")</f>
        <v/>
      </c>
      <c r="AC11" s="166" t="str">
        <f>IF($Y11&lt;&gt;0,'Cost &amp; Benefit Inputs'!I8*$Y11,"")</f>
        <v/>
      </c>
      <c r="AD11" s="166" t="str">
        <f>IF($Y11&lt;&gt;0,'Cost &amp; Benefit Inputs'!K8*$Y11,"")</f>
        <v/>
      </c>
      <c r="AE11" s="166" t="str">
        <f>IF($Y11&lt;&gt;0,'Cost &amp; Benefit Inputs'!L8*$Y11,"")</f>
        <v/>
      </c>
      <c r="AF11" s="166" t="str">
        <f>IF($Y11&lt;&gt;0,'Cost &amp; Benefit Inputs'!M8*$Y11,"")</f>
        <v/>
      </c>
      <c r="AG11" s="166" t="str">
        <f>IF($Y11&lt;&gt;0,'Cost &amp; Benefit Inputs'!N8*$Y11,"")</f>
        <v/>
      </c>
      <c r="AH11" s="166" t="str">
        <f>IF($Y11&lt;&gt;0,'Cost &amp; Benefit Inputs'!O8*$Y11,"")</f>
        <v/>
      </c>
      <c r="AI11" s="166" t="str">
        <f>IF($Y11&lt;&gt;0,'Cost &amp; Benefit Inputs'!P8*$Y11,"")</f>
        <v/>
      </c>
      <c r="AJ11" s="167" t="str">
        <f>IF($Y11&lt;&gt;0,'Cost &amp; Benefit Inputs'!Q8,"")</f>
        <v/>
      </c>
      <c r="AL11" s="166" t="str">
        <f>IF($Y11,'Cost &amp; Benefit Inputs'!U8,"")</f>
        <v/>
      </c>
      <c r="AM11" s="166" t="str">
        <f>IF($Y11,'Cost &amp; Benefit Inputs'!V8,"")</f>
        <v/>
      </c>
      <c r="AN11" s="166" t="str">
        <f>IF($Y11,'Cost &amp; Benefit Inputs'!W8,"")</f>
        <v/>
      </c>
      <c r="AO11" s="166" t="str">
        <f>IF($Y11,'Cost &amp; Benefit Inputs'!X8,"")</f>
        <v/>
      </c>
      <c r="AP11" s="166" t="str">
        <f>IF($Y11,'Cost &amp; Benefit Inputs'!Y8,"")</f>
        <v/>
      </c>
      <c r="AQ11" s="166" t="str">
        <f>IF($Y11,'Cost &amp; Benefit Inputs'!Z8,"")</f>
        <v/>
      </c>
      <c r="AR11" s="31"/>
      <c r="AS11" s="166" t="str">
        <f>IF($Y11&lt;&gt;0,'Cost &amp; Benefit Inputs'!AB8*$Y11,"")</f>
        <v/>
      </c>
      <c r="AT11" s="166" t="str">
        <f>IF($Y11&lt;&gt;0,'Cost &amp; Benefit Inputs'!AC8*$Y11,"")</f>
        <v/>
      </c>
      <c r="AU11" s="165"/>
      <c r="AV11" s="166" t="str">
        <f>IF($Y11&lt;&gt;0,'Cost &amp; Benefit Inputs'!AE8*$Y11,"")</f>
        <v/>
      </c>
      <c r="AW11" s="166" t="str">
        <f>IF($Y11&lt;&gt;0,'Cost &amp; Benefit Inputs'!AF8*$Y11,"")</f>
        <v/>
      </c>
      <c r="AX11" s="166" t="str">
        <f>IF($Y11&lt;&gt;0,'Cost &amp; Benefit Inputs'!AG8*$Y11,"")</f>
        <v/>
      </c>
      <c r="AY11" s="31"/>
      <c r="AZ11" s="166" t="str">
        <f>IF($Y11&lt;&gt;0,'Cost &amp; Benefit Inputs'!AI8*$Y11,"")</f>
        <v/>
      </c>
      <c r="BA11" s="166" t="str">
        <f>IF($Y11&lt;&gt;0,'Cost &amp; Benefit Inputs'!AJ8*$Y11,"")</f>
        <v/>
      </c>
      <c r="BB11" s="166" t="str">
        <f>IF($Y11&lt;&gt;0,'Cost &amp; Benefit Inputs'!AK8*$Y11,"")</f>
        <v/>
      </c>
      <c r="BC11" s="166" t="str">
        <f>IF($Y11&lt;&gt;0,'Cost &amp; Benefit Inputs'!AL8*$Y11,"")</f>
        <v/>
      </c>
      <c r="BD11" s="173" t="str">
        <f>IF($Y11&lt;&gt;0,'Cost &amp; Benefit Inputs'!AM8,"")</f>
        <v/>
      </c>
    </row>
    <row r="12" spans="1:57" x14ac:dyDescent="0.2">
      <c r="A12" s="128" t="s">
        <v>109</v>
      </c>
      <c r="B12" s="176" t="str">
        <f>VLOOKUP($A12,'Scoring Inputs'!$A:$AH,2,0)</f>
        <v>Business Existing Facilities</v>
      </c>
      <c r="C12" s="129" t="str">
        <f>VLOOKUP($A12,'Scoring Inputs'!$A:$AH,3,0)</f>
        <v>VEIC</v>
      </c>
      <c r="E12" s="198" t="str">
        <f>IF(ISBLANK(VLOOKUP($A12,'Scoring Inputs'!$A:$AH,4,0)),"",VLOOKUP($A12,'Scoring Inputs'!$A:$AH,4,0))</f>
        <v>Yes</v>
      </c>
      <c r="G12" s="14">
        <f>IF(VLOOKUP($A12,'Scoring Inputs'!$A:$AH,10,0)="","",G$9*VLOOKUP(VLOOKUP($A12,'Scoring Inputs'!$A:$AH,10,0),RANK_TABLE,3,0))</f>
        <v>10</v>
      </c>
      <c r="H12" s="247">
        <f>IF(VLOOKUP($A12,'Scoring Inputs'!$A:$AH,12,0)="","",$H$9*VLOOKUP(VLOOKUP($A12,'Scoring Inputs'!$A:$AH,12,0),RANK_TABLE,3,0))</f>
        <v>30</v>
      </c>
      <c r="J12" s="255">
        <f>IF(VLOOKUP($A12,'Scoring Inputs'!$A:$AH,14,0)="","",$J$9*VLOOKUP(VLOOKUP($A12,'Scoring Inputs'!$A:$AH,14,0),RANK_TABLE,3,0))</f>
        <v>3.333333333333333</v>
      </c>
      <c r="K12" s="15">
        <f>IF(VLOOKUP($A12,'Scoring Inputs'!$A:$AH,18,0)="","",$K$9*VLOOKUP(VLOOKUP($A12,'Scoring Inputs'!$A:$AH,18,0),RANK_TABLE,3,0))</f>
        <v>3.333333333333333</v>
      </c>
      <c r="L12" s="140">
        <f>IF(VLOOKUP($A12,'Scoring Inputs'!$A:$AI,35,0)="","",L$9)</f>
        <v>10</v>
      </c>
      <c r="M12" s="140">
        <f>IF(VLOOKUP($A12,'Scoring Inputs'!$A:$AI,6,0)="","",ROUND(VLOOKUP($A12,'Scoring Inputs'!$A:$AH,6,0)*M$9,0))</f>
        <v>3</v>
      </c>
      <c r="N12" s="252">
        <f>IF(VLOOKUP($A12,'Scoring Inputs'!$A:$AH,16,0)="","",$N$9*VLOOKUP(VLOOKUP($A12,'Scoring Inputs'!$A:$AH,16,0),RANK_TABLE,3,0))</f>
        <v>0</v>
      </c>
      <c r="O12" s="15">
        <f>IF(VLOOKUP($A12,'Scoring Inputs'!$A:$AH,20,0)="","",$O$9*VLOOKUP(VLOOKUP($A12,'Scoring Inputs'!$A:$AH,20,0),RANK_TABLE,3,0))</f>
        <v>0</v>
      </c>
      <c r="P12" s="140">
        <f>IF(VLOOKUP($A12,'Scoring Inputs'!$A:$AH,23,0)="","",$P$9*VLOOKUP(VLOOKUP($A12,'Scoring Inputs'!$A:$AH,23,0),RANK_TABLE,3,0))</f>
        <v>0</v>
      </c>
      <c r="Q12" s="204"/>
      <c r="R12" s="209">
        <f>IF(VLOOKUP($A12,'Scoring Inputs'!$A:$BF,28,0)="","",$R$9*VLOOKUP($A12,'Scoring Inputs'!$A:$BF,28,0))</f>
        <v>4</v>
      </c>
      <c r="T12" s="148">
        <f>SUM(F12:S12)</f>
        <v>63.666666666666671</v>
      </c>
      <c r="U12" s="185">
        <f t="shared" si="3"/>
        <v>0.63666666666666671</v>
      </c>
      <c r="W12" s="148">
        <f>RANK(T12,$T$11:$T$42)</f>
        <v>4</v>
      </c>
      <c r="Y12" s="147">
        <f>373901/500000</f>
        <v>0.74780199999999997</v>
      </c>
      <c r="AB12" s="165">
        <f>IF($Y12&lt;&gt;0,'Cost &amp; Benefit Inputs'!G9*$Y12,"")</f>
        <v>141.88918796998985</v>
      </c>
      <c r="AC12" s="166">
        <f>IF($Y12&lt;&gt;0,'Cost &amp; Benefit Inputs'!I9*$Y12,"")</f>
        <v>239296.63999999998</v>
      </c>
      <c r="AD12" s="166">
        <f>IF($Y12&lt;&gt;0,'Cost &amp; Benefit Inputs'!K9*$Y12,"")</f>
        <v>215366.976</v>
      </c>
      <c r="AE12" s="166">
        <f>IF($Y12&lt;&gt;0,'Cost &amp; Benefit Inputs'!L9*$Y12,"")</f>
        <v>488169.43235864228</v>
      </c>
      <c r="AF12" s="166">
        <f>IF($Y12&lt;&gt;0,'Cost &amp; Benefit Inputs'!M9*$Y12,"")</f>
        <v>703536.40835864225</v>
      </c>
      <c r="AG12" s="166">
        <f>IF($Y12&lt;&gt;0,'Cost &amp; Benefit Inputs'!N9*$Y12,"")</f>
        <v>1322937.6409742881</v>
      </c>
      <c r="AH12" s="166">
        <f>IF($Y12&lt;&gt;0,'Cost &amp; Benefit Inputs'!O9*$Y12,"")</f>
        <v>619401.23261564597</v>
      </c>
      <c r="AI12" s="166">
        <f>IF($Y12&lt;&gt;0,'Cost &amp; Benefit Inputs'!P9*$Y12,"")</f>
        <v>373901</v>
      </c>
      <c r="AJ12" s="167">
        <f>IF($Y12&lt;&gt;0,'Cost &amp; Benefit Inputs'!Q9,"")</f>
        <v>1.6565915379088207</v>
      </c>
      <c r="AL12" s="166">
        <f>IF($Y12,'Cost &amp; Benefit Inputs'!U9,"")</f>
        <v>0</v>
      </c>
      <c r="AM12" s="166">
        <f>IF($Y12,'Cost &amp; Benefit Inputs'!V9,"")</f>
        <v>0</v>
      </c>
      <c r="AN12" s="166">
        <f>IF($Y12,'Cost &amp; Benefit Inputs'!W9,"")</f>
        <v>0</v>
      </c>
      <c r="AO12" s="166">
        <f>IF($Y12,'Cost &amp; Benefit Inputs'!X9,"")</f>
        <v>0</v>
      </c>
      <c r="AP12" s="166">
        <f>IF($Y12,'Cost &amp; Benefit Inputs'!Y9,"")</f>
        <v>500000</v>
      </c>
      <c r="AQ12" s="166">
        <f>IF($Y12,'Cost &amp; Benefit Inputs'!Z9,"")</f>
        <v>500000</v>
      </c>
      <c r="AR12" s="31"/>
      <c r="AS12" s="166">
        <f>IF($Y12&lt;&gt;0,'Cost &amp; Benefit Inputs'!AB9*$Y12,"")</f>
        <v>0</v>
      </c>
      <c r="AT12" s="166">
        <f>IF($Y12&lt;&gt;0,'Cost &amp; Benefit Inputs'!AC9*$Y12,"")</f>
        <v>373901</v>
      </c>
      <c r="AU12" s="165"/>
      <c r="AV12" s="166">
        <f>IF($Y12&lt;&gt;0,'Cost &amp; Benefit Inputs'!AE9*$Y12,"")</f>
        <v>0</v>
      </c>
      <c r="AW12" s="166">
        <f>IF($Y12&lt;&gt;0,'Cost &amp; Benefit Inputs'!AF9*$Y12,"")</f>
        <v>373901</v>
      </c>
      <c r="AX12" s="166">
        <f>IF($Y12&lt;&gt;0,'Cost &amp; Benefit Inputs'!AG9*$Y12,"")</f>
        <v>0</v>
      </c>
      <c r="AY12" s="31"/>
      <c r="AZ12" s="166">
        <f>IF($Y12&lt;&gt;0,'Cost &amp; Benefit Inputs'!AI9*$Y12,"")</f>
        <v>407806.12039849139</v>
      </c>
      <c r="BA12" s="166">
        <f>IF($Y12&lt;&gt;0,'Cost &amp; Benefit Inputs'!AJ9*$Y12,"")</f>
        <v>0</v>
      </c>
      <c r="BB12" s="166">
        <f>IF($Y12&lt;&gt;0,'Cost &amp; Benefit Inputs'!AK9*$Y12,"")</f>
        <v>373901</v>
      </c>
      <c r="BC12" s="166">
        <f>IF($Y12&lt;&gt;0,'Cost &amp; Benefit Inputs'!AL9*$Y12,"")</f>
        <v>781707.12039849139</v>
      </c>
      <c r="BD12" s="173">
        <f>IF($Y12&lt;&gt;0,'Cost &amp; Benefit Inputs'!AM9,"")</f>
        <v>1.0906794055070497</v>
      </c>
    </row>
    <row r="13" spans="1:57" x14ac:dyDescent="0.2">
      <c r="A13" s="128" t="s">
        <v>110</v>
      </c>
      <c r="B13" s="176" t="str">
        <f>VLOOKUP($A13,'Scoring Inputs'!$A:$AH,2,0)</f>
        <v>ZEN</v>
      </c>
      <c r="C13" s="129" t="str">
        <f>VLOOKUP($A13,'Scoring Inputs'!$A:$AH,3,0)</f>
        <v>EFG</v>
      </c>
      <c r="E13" s="198" t="str">
        <f>IF(ISBLANK(VLOOKUP($A13,'Scoring Inputs'!$A:$AH,4,0)),"",VLOOKUP($A13,'Scoring Inputs'!$A:$AH,4,0))</f>
        <v>Yes</v>
      </c>
      <c r="G13" s="14">
        <f>IF(VLOOKUP($A13,'Scoring Inputs'!$A:$AH,10,0)="","",G$9*VLOOKUP(VLOOKUP($A13,'Scoring Inputs'!$A:$AH,10,0),RANK_TABLE,3,0))</f>
        <v>30</v>
      </c>
      <c r="H13" s="247">
        <f>IF(VLOOKUP($A13,'Scoring Inputs'!$A:$AH,12,0)="","",$H$9*VLOOKUP(VLOOKUP($A13,'Scoring Inputs'!$A:$AH,12,0),RANK_TABLE,3,0))</f>
        <v>20</v>
      </c>
      <c r="J13" s="255">
        <f>IF(VLOOKUP($A13,'Scoring Inputs'!$A:$AH,14,0)="","",$J$9*VLOOKUP(VLOOKUP($A13,'Scoring Inputs'!$A:$AH,14,0),RANK_TABLE,3,0))</f>
        <v>10</v>
      </c>
      <c r="K13" s="15">
        <f>IF(VLOOKUP($A13,'Scoring Inputs'!$A:$AH,18,0)="","",$K$9*VLOOKUP(VLOOKUP($A13,'Scoring Inputs'!$A:$AH,18,0),RANK_TABLE,3,0))</f>
        <v>5</v>
      </c>
      <c r="L13" s="140" t="str">
        <f>IF(VLOOKUP($A13,'Scoring Inputs'!$A:$AI,35,0)="","",L$9)</f>
        <v/>
      </c>
      <c r="M13" s="140">
        <f>IF(VLOOKUP($A13,'Scoring Inputs'!$A:$AH,6,0)="","",ROUND(VLOOKUP($A13,'Scoring Inputs'!$A:$AH,6,0)*M$9,0))</f>
        <v>2</v>
      </c>
      <c r="N13" s="252">
        <f>IF(VLOOKUP($A13,'Scoring Inputs'!$A:$AH,16,0)="","",$N$9*VLOOKUP(VLOOKUP($A13,'Scoring Inputs'!$A:$AH,16,0),RANK_TABLE,3,0))</f>
        <v>0</v>
      </c>
      <c r="O13" s="15">
        <f>IF(VLOOKUP($A13,'Scoring Inputs'!$A:$AH,20,0)="","",$O$9*VLOOKUP(VLOOKUP($A13,'Scoring Inputs'!$A:$AH,20,0),RANK_TABLE,3,0))</f>
        <v>0</v>
      </c>
      <c r="P13" s="140">
        <f>IF(VLOOKUP($A13,'Scoring Inputs'!$A:$AH,23,0)="","",$P$9*VLOOKUP(VLOOKUP($A13,'Scoring Inputs'!$A:$AH,23,0),RANK_TABLE,3,0))</f>
        <v>0</v>
      </c>
      <c r="Q13" s="204"/>
      <c r="R13" s="209">
        <f>IF(VLOOKUP($A13,'Scoring Inputs'!$A:$BF,28,0)="","",$R$9*VLOOKUP($A13,'Scoring Inputs'!$A:$BF,28,0))</f>
        <v>6.0000000000000009</v>
      </c>
      <c r="T13" s="148">
        <f t="shared" ref="T13:T19" si="4">SUM(F13:S13)</f>
        <v>73</v>
      </c>
      <c r="U13" s="185">
        <f t="shared" si="3"/>
        <v>0.73</v>
      </c>
      <c r="W13" s="148">
        <f t="shared" ref="W13:W25" si="5">RANK(T13,$T$11:$T$42)</f>
        <v>2</v>
      </c>
      <c r="Y13" s="147">
        <f>118894/118021</f>
        <v>1.0073969886715075</v>
      </c>
      <c r="AB13" s="165">
        <f>IF($Y13&lt;&gt;0,'Cost &amp; Benefit Inputs'!G10*$Y13,"")</f>
        <v>40.295879546860299</v>
      </c>
      <c r="AC13" s="166">
        <f>IF($Y13&lt;&gt;0,'Cost &amp; Benefit Inputs'!I10*$Y13,"")</f>
        <v>80591.759093720597</v>
      </c>
      <c r="AD13" s="166">
        <f>IF($Y13&lt;&gt;0,'Cost &amp; Benefit Inputs'!K10*$Y13,"")</f>
        <v>72532.583184348536</v>
      </c>
      <c r="AE13" s="166">
        <f>IF($Y13&lt;&gt;0,'Cost &amp; Benefit Inputs'!L10*$Y13,"")</f>
        <v>665885.37992391177</v>
      </c>
      <c r="AF13" s="166">
        <f>IF($Y13&lt;&gt;0,'Cost &amp; Benefit Inputs'!M10*$Y13,"")</f>
        <v>738417.9631082603</v>
      </c>
      <c r="AG13" s="166">
        <f>IF($Y13&lt;&gt;0,'Cost &amp; Benefit Inputs'!N10*$Y13,"")</f>
        <v>1286988.8600898571</v>
      </c>
      <c r="AH13" s="166">
        <f>IF($Y13&lt;&gt;0,'Cost &amp; Benefit Inputs'!O10*$Y13,"")</f>
        <v>548570.89698159683</v>
      </c>
      <c r="AI13" s="166">
        <f>IF($Y13&lt;&gt;0,'Cost &amp; Benefit Inputs'!P10*$Y13,"")</f>
        <v>118893.55760005691</v>
      </c>
      <c r="AJ13" s="167">
        <f>IF($Y13&lt;&gt;0,'Cost &amp; Benefit Inputs'!Q10,"")</f>
        <v>4.6139665433086021</v>
      </c>
      <c r="AL13" s="166">
        <f>IF($Y13,'Cost &amp; Benefit Inputs'!U10,"")</f>
        <v>0</v>
      </c>
      <c r="AM13" s="166">
        <f>IF($Y13,'Cost &amp; Benefit Inputs'!V10,"")</f>
        <v>0</v>
      </c>
      <c r="AN13" s="166">
        <f>IF($Y13,'Cost &amp; Benefit Inputs'!W10,"")</f>
        <v>0</v>
      </c>
      <c r="AO13" s="166">
        <f>IF($Y13,'Cost &amp; Benefit Inputs'!X10,"")</f>
        <v>0</v>
      </c>
      <c r="AP13" s="166">
        <f>IF($Y13,'Cost &amp; Benefit Inputs'!Y10,"")</f>
        <v>118020.56084845592</v>
      </c>
      <c r="AQ13" s="166">
        <f>IF($Y13,'Cost &amp; Benefit Inputs'!Z10,"")</f>
        <v>118020.56084845592</v>
      </c>
      <c r="AR13" s="31"/>
      <c r="AS13" s="166">
        <f>IF($Y13&lt;&gt;0,'Cost &amp; Benefit Inputs'!AB10*$Y13,"")</f>
        <v>0</v>
      </c>
      <c r="AT13" s="166">
        <f>IF($Y13&lt;&gt;0,'Cost &amp; Benefit Inputs'!AC10*$Y13,"")</f>
        <v>118893.55760005691</v>
      </c>
      <c r="AU13" s="165"/>
      <c r="AV13" s="166">
        <f>IF($Y13&lt;&gt;0,'Cost &amp; Benefit Inputs'!AE10*$Y13,"")</f>
        <v>118893.55760005691</v>
      </c>
      <c r="AW13" s="166">
        <f>IF($Y13&lt;&gt;0,'Cost &amp; Benefit Inputs'!AF10*$Y13,"")</f>
        <v>0</v>
      </c>
      <c r="AX13" s="166">
        <f>IF($Y13&lt;&gt;0,'Cost &amp; Benefit Inputs'!AG10*$Y13,"")</f>
        <v>0</v>
      </c>
      <c r="AY13" s="31"/>
      <c r="AZ13" s="166">
        <f>IF($Y13&lt;&gt;0,'Cost &amp; Benefit Inputs'!AI10*$Y13,"")</f>
        <v>479609.05254559504</v>
      </c>
      <c r="BA13" s="166">
        <f>IF($Y13&lt;&gt;0,'Cost &amp; Benefit Inputs'!AJ10*$Y13,"")</f>
        <v>221961.7933079706</v>
      </c>
      <c r="BB13" s="166">
        <f>IF($Y13&lt;&gt;0,'Cost &amp; Benefit Inputs'!AK10*$Y13,"")</f>
        <v>118893.55760005691</v>
      </c>
      <c r="BC13" s="166">
        <f>IF($Y13&lt;&gt;0,'Cost &amp; Benefit Inputs'!AL10*$Y13,"")</f>
        <v>820464.4034536226</v>
      </c>
      <c r="BD13" s="173">
        <f>IF($Y13&lt;&gt;0,'Cost &amp; Benefit Inputs'!AM10,"")</f>
        <v>5.900831466525398</v>
      </c>
    </row>
    <row r="14" spans="1:57" x14ac:dyDescent="0.2">
      <c r="A14" s="128" t="s">
        <v>111</v>
      </c>
      <c r="B14" s="129">
        <f>VLOOKUP($A14,'Scoring Inputs'!$A:$AH,2,0)</f>
        <v>0</v>
      </c>
      <c r="C14" s="129">
        <f>VLOOKUP($A14,'Scoring Inputs'!$A:$AH,3,0)</f>
        <v>0</v>
      </c>
      <c r="E14" s="198" t="str">
        <f>IF(ISBLANK(VLOOKUP($A14,'Scoring Inputs'!$A:$AH,4,0)),"",VLOOKUP($A14,'Scoring Inputs'!$A:$AH,4,0))</f>
        <v/>
      </c>
      <c r="G14" s="14" t="str">
        <f>IF(VLOOKUP($A14,'Scoring Inputs'!$A:$AH,10,0)="","",G$9*VLOOKUP(VLOOKUP($A14,'Scoring Inputs'!$A:$AH,10,0),RANK_TABLE,3,0))</f>
        <v/>
      </c>
      <c r="H14" s="247" t="str">
        <f>IF(VLOOKUP($A14,'Scoring Inputs'!$A:$AH,12,0)="","",$H$9*VLOOKUP(VLOOKUP($A14,'Scoring Inputs'!$A:$AH,12,0),RANK_TABLE,3,0))</f>
        <v/>
      </c>
      <c r="J14" s="255"/>
      <c r="K14" s="15" t="str">
        <f>IF(VLOOKUP($A14,'Scoring Inputs'!$A:$AH,18,0)="","",$K$9*VLOOKUP(VLOOKUP($A14,'Scoring Inputs'!$A:$AH,18,0),RANK_TABLE,3,0))</f>
        <v/>
      </c>
      <c r="L14" s="140" t="str">
        <f>IF(VLOOKUP($A14,'Scoring Inputs'!$A:$AI,35,0)="","",L$9)</f>
        <v/>
      </c>
      <c r="M14" s="140" t="str">
        <f>IF(VLOOKUP($A14,'Scoring Inputs'!$A:$AH,6,0)="","",ROUND(VLOOKUP($A14,'Scoring Inputs'!$A:$AH,6,0)*M$9,0))</f>
        <v/>
      </c>
      <c r="N14" s="252" t="str">
        <f>IF(VLOOKUP($A14,'Scoring Inputs'!$A:$AH,16,0)="","",$N$9*VLOOKUP(VLOOKUP($A14,'Scoring Inputs'!$A:$AH,16,0),RANK_TABLE,3,0))</f>
        <v/>
      </c>
      <c r="O14" s="15" t="str">
        <f>IF(VLOOKUP($A14,'Scoring Inputs'!$A:$AH,20,0)="","",$O$9*VLOOKUP(VLOOKUP($A14,'Scoring Inputs'!$A:$AH,20,0),RANK_TABLE,3,0))</f>
        <v/>
      </c>
      <c r="P14" s="140" t="str">
        <f>IF(VLOOKUP($A14,'Scoring Inputs'!$A:$AH,23,0)="","",$P$9*VLOOKUP(VLOOKUP($A14,'Scoring Inputs'!$A:$AH,23,0),RANK_TABLE,3,0))</f>
        <v/>
      </c>
      <c r="Q14" s="204"/>
      <c r="R14" s="209"/>
      <c r="T14" s="148">
        <f t="shared" si="4"/>
        <v>0</v>
      </c>
      <c r="U14" s="185">
        <f t="shared" si="3"/>
        <v>0</v>
      </c>
      <c r="W14" s="148"/>
      <c r="Y14" s="147">
        <v>0</v>
      </c>
      <c r="AA14" s="175"/>
      <c r="AB14" s="165" t="str">
        <f>IF($Y14&lt;&gt;0,'Cost &amp; Benefit Inputs'!G11*$Y14,"")</f>
        <v/>
      </c>
      <c r="AC14" s="166" t="str">
        <f>IF($Y14&lt;&gt;0,'Cost &amp; Benefit Inputs'!I11*$Y14,"")</f>
        <v/>
      </c>
      <c r="AD14" s="166" t="str">
        <f>IF($Y14&lt;&gt;0,'Cost &amp; Benefit Inputs'!K11*$Y14,"")</f>
        <v/>
      </c>
      <c r="AE14" s="166" t="str">
        <f>IF($Y14&lt;&gt;0,'Cost &amp; Benefit Inputs'!L11*$Y14,"")</f>
        <v/>
      </c>
      <c r="AF14" s="166" t="str">
        <f>IF($Y14&lt;&gt;0,'Cost &amp; Benefit Inputs'!M11*$Y14,"")</f>
        <v/>
      </c>
      <c r="AG14" s="166" t="str">
        <f>IF($Y14&lt;&gt;0,'Cost &amp; Benefit Inputs'!N11*$Y14,"")</f>
        <v/>
      </c>
      <c r="AH14" s="166" t="str">
        <f>IF($Y14&lt;&gt;0,'Cost &amp; Benefit Inputs'!O11*$Y14,"")</f>
        <v/>
      </c>
      <c r="AI14" s="166" t="str">
        <f>IF($Y14&lt;&gt;0,'Cost &amp; Benefit Inputs'!P11*$Y14,"")</f>
        <v/>
      </c>
      <c r="AJ14" s="167" t="str">
        <f>IF($Y14&lt;&gt;0,'Cost &amp; Benefit Inputs'!Q11,"")</f>
        <v/>
      </c>
      <c r="AL14" s="166" t="str">
        <f>IF($Y14,'Cost &amp; Benefit Inputs'!U11,"")</f>
        <v/>
      </c>
      <c r="AM14" s="166" t="str">
        <f>IF($Y14,'Cost &amp; Benefit Inputs'!V11,"")</f>
        <v/>
      </c>
      <c r="AN14" s="166" t="str">
        <f>IF($Y14,'Cost &amp; Benefit Inputs'!W11,"")</f>
        <v/>
      </c>
      <c r="AO14" s="166" t="str">
        <f>IF($Y14,'Cost &amp; Benefit Inputs'!X11,"")</f>
        <v/>
      </c>
      <c r="AP14" s="166" t="str">
        <f>IF($Y14,'Cost &amp; Benefit Inputs'!Y11,"")</f>
        <v/>
      </c>
      <c r="AQ14" s="166" t="str">
        <f>IF($Y14,'Cost &amp; Benefit Inputs'!Z11,"")</f>
        <v/>
      </c>
      <c r="AR14" s="31"/>
      <c r="AS14" s="166" t="str">
        <f>IF($Y14&lt;&gt;0,'Cost &amp; Benefit Inputs'!AB11*$Y14,"")</f>
        <v/>
      </c>
      <c r="AT14" s="166" t="str">
        <f>IF($Y14&lt;&gt;0,'Cost &amp; Benefit Inputs'!AC11*$Y14,"")</f>
        <v/>
      </c>
      <c r="AU14" s="165"/>
      <c r="AV14" s="166" t="str">
        <f>IF($Y14&lt;&gt;0,'Cost &amp; Benefit Inputs'!AE11*$Y14,"")</f>
        <v/>
      </c>
      <c r="AW14" s="166" t="str">
        <f>IF($Y14&lt;&gt;0,'Cost &amp; Benefit Inputs'!AF11*$Y14,"")</f>
        <v/>
      </c>
      <c r="AX14" s="166" t="str">
        <f>IF($Y14&lt;&gt;0,'Cost &amp; Benefit Inputs'!AG11*$Y14,"")</f>
        <v/>
      </c>
      <c r="AY14" s="31"/>
      <c r="AZ14" s="166" t="str">
        <f>IF($Y14&lt;&gt;0,'Cost &amp; Benefit Inputs'!AI11*$Y14,"")</f>
        <v/>
      </c>
      <c r="BA14" s="166" t="str">
        <f>IF($Y14&lt;&gt;0,'Cost &amp; Benefit Inputs'!AJ11*$Y14,"")</f>
        <v/>
      </c>
      <c r="BB14" s="166" t="str">
        <f>IF($Y14&lt;&gt;0,'Cost &amp; Benefit Inputs'!AK11*$Y14,"")</f>
        <v/>
      </c>
      <c r="BC14" s="166" t="str">
        <f>IF($Y14&lt;&gt;0,'Cost &amp; Benefit Inputs'!AL11*$Y14,"")</f>
        <v/>
      </c>
      <c r="BD14" s="173" t="str">
        <f>IF($Y14&lt;&gt;0,'Cost &amp; Benefit Inputs'!AM11,"")</f>
        <v/>
      </c>
    </row>
    <row r="15" spans="1:57" ht="14" customHeight="1" x14ac:dyDescent="0.2">
      <c r="A15" s="128" t="s">
        <v>112</v>
      </c>
      <c r="B15" s="129">
        <f>VLOOKUP($A15,'Scoring Inputs'!$A:$AH,2,0)</f>
        <v>0</v>
      </c>
      <c r="C15" s="129">
        <f>VLOOKUP($A15,'Scoring Inputs'!$A:$AH,3,0)</f>
        <v>0</v>
      </c>
      <c r="E15" s="198" t="str">
        <f>IF(ISBLANK(VLOOKUP($A15,'Scoring Inputs'!$A:$AH,4,0)),"",VLOOKUP($A15,'Scoring Inputs'!$A:$AH,4,0))</f>
        <v/>
      </c>
      <c r="G15" s="14" t="str">
        <f>IF(VLOOKUP($A15,'Scoring Inputs'!$A:$AH,10,0)="","",G$9*VLOOKUP(VLOOKUP($A15,'Scoring Inputs'!$A:$AH,10,0),RANK_TABLE,3,0))</f>
        <v/>
      </c>
      <c r="H15" s="247" t="str">
        <f>IF(VLOOKUP($A15,'Scoring Inputs'!$A:$AH,12,0)="","",$H$9*VLOOKUP(VLOOKUP($A15,'Scoring Inputs'!$A:$AH,12,0),RANK_TABLE,3,0))</f>
        <v/>
      </c>
      <c r="J15" s="255" t="str">
        <f>IF(VLOOKUP($A15,'Scoring Inputs'!$A:$AH,14,0)="","",$J$9*VLOOKUP(VLOOKUP($A15,'Scoring Inputs'!$A:$AH,14,0),RANK_TABLE,3,0))</f>
        <v/>
      </c>
      <c r="K15" s="15" t="str">
        <f>IF(VLOOKUP($A15,'Scoring Inputs'!$A:$AH,18,0)="","",$K$9*VLOOKUP(VLOOKUP($A15,'Scoring Inputs'!$A:$AH,18,0),RANK_TABLE,3,0))</f>
        <v/>
      </c>
      <c r="L15" s="140" t="str">
        <f>IF(VLOOKUP($A15,'Scoring Inputs'!$A:$AI,35,0)="","",L$9)</f>
        <v/>
      </c>
      <c r="M15" s="140" t="str">
        <f>IF(VLOOKUP($A15,'Scoring Inputs'!$A:$AH,6,0)="","",ROUND(VLOOKUP($A15,'Scoring Inputs'!$A:$AH,6,0)*M$9,0))</f>
        <v/>
      </c>
      <c r="N15" s="252" t="str">
        <f>IF(VLOOKUP($A15,'Scoring Inputs'!$A:$AH,16,0)="","",$N$9*VLOOKUP(VLOOKUP($A15,'Scoring Inputs'!$A:$AH,16,0),RANK_TABLE,3,0))</f>
        <v/>
      </c>
      <c r="O15" s="15" t="str">
        <f>IF(VLOOKUP($A15,'Scoring Inputs'!$A:$AH,20,0)="","",$O$9*VLOOKUP(VLOOKUP($A15,'Scoring Inputs'!$A:$AH,20,0),RANK_TABLE,3,0))</f>
        <v/>
      </c>
      <c r="P15" s="140" t="str">
        <f>IF(VLOOKUP($A15,'Scoring Inputs'!$A:$AH,23,0)="","",$P$9*VLOOKUP(VLOOKUP($A15,'Scoring Inputs'!$A:$AH,23,0),RANK_TABLE,3,0))</f>
        <v/>
      </c>
      <c r="Q15" s="204"/>
      <c r="R15" s="209">
        <f>IF(VLOOKUP($A15,'Scoring Inputs'!$A:$BF,28,0)="","",$R$9*VLOOKUP($A15,'Scoring Inputs'!$A:$BF,28,0))</f>
        <v>0</v>
      </c>
      <c r="T15" s="148">
        <f t="shared" si="4"/>
        <v>0</v>
      </c>
      <c r="U15" s="185">
        <f t="shared" si="3"/>
        <v>0</v>
      </c>
      <c r="W15" s="148"/>
      <c r="Y15" s="147">
        <v>0</v>
      </c>
      <c r="AB15" s="165" t="str">
        <f>IF($Y15&lt;&gt;0,'Cost &amp; Benefit Inputs'!G12*$Y15,"")</f>
        <v/>
      </c>
      <c r="AC15" s="166" t="str">
        <f>IF($Y15&lt;&gt;0,'Cost &amp; Benefit Inputs'!I12*$Y15,"")</f>
        <v/>
      </c>
      <c r="AD15" s="166" t="str">
        <f>IF($Y15&lt;&gt;0,'Cost &amp; Benefit Inputs'!K12*$Y15,"")</f>
        <v/>
      </c>
      <c r="AE15" s="166" t="str">
        <f>IF($Y15&lt;&gt;0,'Cost &amp; Benefit Inputs'!L12*$Y15,"")</f>
        <v/>
      </c>
      <c r="AF15" s="166" t="str">
        <f>IF($Y15&lt;&gt;0,'Cost &amp; Benefit Inputs'!M12*$Y15,"")</f>
        <v/>
      </c>
      <c r="AG15" s="166" t="str">
        <f>IF($Y15&lt;&gt;0,'Cost &amp; Benefit Inputs'!N12*$Y15,"")</f>
        <v/>
      </c>
      <c r="AH15" s="166" t="str">
        <f>IF($Y15&lt;&gt;0,'Cost &amp; Benefit Inputs'!O12*$Y15,"")</f>
        <v/>
      </c>
      <c r="AI15" s="166" t="str">
        <f>IF($Y15&lt;&gt;0,'Cost &amp; Benefit Inputs'!P12*$Y15,"")</f>
        <v/>
      </c>
      <c r="AJ15" s="167" t="str">
        <f>IF($Y15&lt;&gt;0,'Cost &amp; Benefit Inputs'!Q12,"")</f>
        <v/>
      </c>
      <c r="AL15" s="166" t="str">
        <f>IF($Y15,'Cost &amp; Benefit Inputs'!U12,"")</f>
        <v/>
      </c>
      <c r="AM15" s="166" t="str">
        <f>IF($Y15,'Cost &amp; Benefit Inputs'!V12,"")</f>
        <v/>
      </c>
      <c r="AN15" s="166" t="str">
        <f>IF($Y15,'Cost &amp; Benefit Inputs'!W12,"")</f>
        <v/>
      </c>
      <c r="AO15" s="166" t="str">
        <f>IF($Y15,'Cost &amp; Benefit Inputs'!X12,"")</f>
        <v/>
      </c>
      <c r="AP15" s="166" t="str">
        <f>IF($Y15,'Cost &amp; Benefit Inputs'!Y12,"")</f>
        <v/>
      </c>
      <c r="AQ15" s="166" t="str">
        <f>IF($Y15,'Cost &amp; Benefit Inputs'!Z12,"")</f>
        <v/>
      </c>
      <c r="AR15" s="31"/>
      <c r="AS15" s="166" t="str">
        <f>IF($Y15&lt;&gt;0,'Cost &amp; Benefit Inputs'!AB12*$Y15,"")</f>
        <v/>
      </c>
      <c r="AT15" s="166" t="str">
        <f>IF($Y15&lt;&gt;0,'Cost &amp; Benefit Inputs'!AC12*$Y15,"")</f>
        <v/>
      </c>
      <c r="AU15" s="165"/>
      <c r="AV15" s="166" t="str">
        <f>IF($Y15&lt;&gt;0,'Cost &amp; Benefit Inputs'!AE12*$Y15,"")</f>
        <v/>
      </c>
      <c r="AW15" s="166" t="str">
        <f>IF($Y15&lt;&gt;0,'Cost &amp; Benefit Inputs'!AF12*$Y15,"")</f>
        <v/>
      </c>
      <c r="AX15" s="166" t="str">
        <f>IF($Y15&lt;&gt;0,'Cost &amp; Benefit Inputs'!AG12*$Y15,"")</f>
        <v/>
      </c>
      <c r="AY15" s="31"/>
      <c r="AZ15" s="166" t="str">
        <f>IF($Y15&lt;&gt;0,'Cost &amp; Benefit Inputs'!AI12*$Y15,"")</f>
        <v/>
      </c>
      <c r="BA15" s="166" t="str">
        <f>IF($Y15&lt;&gt;0,'Cost &amp; Benefit Inputs'!AJ12*$Y15,"")</f>
        <v/>
      </c>
      <c r="BB15" s="166" t="str">
        <f>IF($Y15&lt;&gt;0,'Cost &amp; Benefit Inputs'!AK12*$Y15,"")</f>
        <v/>
      </c>
      <c r="BC15" s="166" t="str">
        <f>IF($Y15&lt;&gt;0,'Cost &amp; Benefit Inputs'!AL12*$Y15,"")</f>
        <v/>
      </c>
      <c r="BD15" s="173" t="str">
        <f>IF($Y15&lt;&gt;0,'Cost &amp; Benefit Inputs'!AM12,"")</f>
        <v/>
      </c>
    </row>
    <row r="16" spans="1:57" ht="1" hidden="1" customHeight="1" x14ac:dyDescent="0.2">
      <c r="A16" s="128" t="s">
        <v>113</v>
      </c>
      <c r="B16" s="282">
        <f>VLOOKUP($A16,'Scoring Inputs'!$A:$AH,2,0)</f>
        <v>0</v>
      </c>
      <c r="C16" s="129">
        <f>VLOOKUP($A16,'Scoring Inputs'!$A:$AH,3,0)</f>
        <v>0</v>
      </c>
      <c r="E16" s="198" t="str">
        <f>IF(ISBLANK(VLOOKUP($A16,'Scoring Inputs'!$A:$AH,4,0)),"",VLOOKUP($A16,'Scoring Inputs'!$A:$AH,4,0))</f>
        <v/>
      </c>
      <c r="G16" s="14" t="str">
        <f>IF(VLOOKUP($A16,'Scoring Inputs'!$A:$AH,10,0)="","",G$9*VLOOKUP(VLOOKUP($A16,'Scoring Inputs'!$A:$AH,10,0),RANK_TABLE,3,0))</f>
        <v/>
      </c>
      <c r="H16" s="247" t="str">
        <f>IF(VLOOKUP($A16,'Scoring Inputs'!$A:$AH,12,0)="","",$H$9*VLOOKUP(VLOOKUP($A16,'Scoring Inputs'!$A:$AH,12,0),RANK_TABLE,3,0))</f>
        <v/>
      </c>
      <c r="J16" s="255" t="str">
        <f>IF(VLOOKUP($A16,'Scoring Inputs'!$A:$AH,14,0)="","",$J$9*VLOOKUP(VLOOKUP($A16,'Scoring Inputs'!$A:$AH,14,0),RANK_TABLE,3,0))</f>
        <v/>
      </c>
      <c r="K16" s="15" t="str">
        <f>IF(VLOOKUP($A16,'Scoring Inputs'!$A:$AH,18,0)="","",$K$9*VLOOKUP(VLOOKUP($A16,'Scoring Inputs'!$A:$AH,18,0),RANK_TABLE,3,0))</f>
        <v/>
      </c>
      <c r="L16" s="140" t="str">
        <f>IF(VLOOKUP($A16,'Scoring Inputs'!$A:$AI,35,0)="","",L$9)</f>
        <v/>
      </c>
      <c r="M16" s="140" t="str">
        <f>IF(VLOOKUP($A16,'Scoring Inputs'!$A:$AH,6,0)="","",ROUND(VLOOKUP($A16,'Scoring Inputs'!$A:$AH,6,0)*M$9,0))</f>
        <v/>
      </c>
      <c r="N16" s="252" t="str">
        <f>IF(VLOOKUP($A16,'Scoring Inputs'!$A:$AH,16,0)="","",$N$9*VLOOKUP(VLOOKUP($A16,'Scoring Inputs'!$A:$AH,16,0),RANK_TABLE,3,0))</f>
        <v/>
      </c>
      <c r="O16" s="15" t="str">
        <f>IF(VLOOKUP($A16,'Scoring Inputs'!$A:$AH,20,0)="","",$O$9*VLOOKUP(VLOOKUP($A16,'Scoring Inputs'!$A:$AH,20,0),RANK_TABLE,3,0))</f>
        <v/>
      </c>
      <c r="P16" s="140" t="str">
        <f>IF(VLOOKUP($A16,'Scoring Inputs'!$A:$AH,23,0)="","",$P$9*VLOOKUP(VLOOKUP($A16,'Scoring Inputs'!$A:$AH,23,0),RANK_TABLE,3,0))</f>
        <v/>
      </c>
      <c r="Q16" s="204"/>
      <c r="R16" s="209">
        <f>IF(VLOOKUP($A16,'Scoring Inputs'!$A:$BF,28,0)="","",$R$9*VLOOKUP($A16,'Scoring Inputs'!$A:$BF,28,0))</f>
        <v>0</v>
      </c>
      <c r="T16" s="148">
        <f t="shared" si="4"/>
        <v>0</v>
      </c>
      <c r="U16" s="185">
        <f t="shared" si="3"/>
        <v>0</v>
      </c>
      <c r="W16" s="148"/>
      <c r="Y16" s="147">
        <v>0</v>
      </c>
      <c r="AB16" s="165" t="str">
        <f>IF($Y16&lt;&gt;0,'Cost &amp; Benefit Inputs'!G13*$Y16,"")</f>
        <v/>
      </c>
      <c r="AC16" s="166" t="str">
        <f>IF($Y16&lt;&gt;0,'Cost &amp; Benefit Inputs'!I13*$Y16,"")</f>
        <v/>
      </c>
      <c r="AD16" s="166" t="str">
        <f>IF($Y16&lt;&gt;0,'Cost &amp; Benefit Inputs'!K13*$Y16,"")</f>
        <v/>
      </c>
      <c r="AE16" s="166" t="str">
        <f>IF($Y16&lt;&gt;0,'Cost &amp; Benefit Inputs'!L13*$Y16,"")</f>
        <v/>
      </c>
      <c r="AF16" s="166" t="str">
        <f>IF($Y16&lt;&gt;0,'Cost &amp; Benefit Inputs'!M13*$Y16,"")</f>
        <v/>
      </c>
      <c r="AG16" s="166" t="str">
        <f>IF($Y16&lt;&gt;0,'Cost &amp; Benefit Inputs'!N13*$Y16,"")</f>
        <v/>
      </c>
      <c r="AH16" s="166" t="str">
        <f>IF($Y16&lt;&gt;0,'Cost &amp; Benefit Inputs'!O13*$Y16,"")</f>
        <v/>
      </c>
      <c r="AI16" s="166" t="str">
        <f>IF($Y16&lt;&gt;0,'Cost &amp; Benefit Inputs'!P13*$Y16,"")</f>
        <v/>
      </c>
      <c r="AJ16" s="167" t="str">
        <f>IF($Y16&lt;&gt;0,'Cost &amp; Benefit Inputs'!Q13,"")</f>
        <v/>
      </c>
      <c r="AL16" s="166" t="str">
        <f>IF($Y16,'Cost &amp; Benefit Inputs'!U13,"")</f>
        <v/>
      </c>
      <c r="AM16" s="166" t="str">
        <f>IF($Y16,'Cost &amp; Benefit Inputs'!V13,"")</f>
        <v/>
      </c>
      <c r="AN16" s="166" t="str">
        <f>IF($Y16,'Cost &amp; Benefit Inputs'!W13,"")</f>
        <v/>
      </c>
      <c r="AO16" s="166" t="str">
        <f>IF($Y16,'Cost &amp; Benefit Inputs'!X13,"")</f>
        <v/>
      </c>
      <c r="AP16" s="166" t="str">
        <f>IF($Y16,'Cost &amp; Benefit Inputs'!Y13,"")</f>
        <v/>
      </c>
      <c r="AQ16" s="166" t="str">
        <f>IF($Y16,'Cost &amp; Benefit Inputs'!Z13,"")</f>
        <v/>
      </c>
      <c r="AR16" s="31"/>
      <c r="AS16" s="166" t="str">
        <f>IF($Y16&lt;&gt;0,'Cost &amp; Benefit Inputs'!AB13*$Y16,"")</f>
        <v/>
      </c>
      <c r="AT16" s="166" t="str">
        <f>IF($Y16&lt;&gt;0,'Cost &amp; Benefit Inputs'!AC13*$Y16,"")</f>
        <v/>
      </c>
      <c r="AU16" s="165"/>
      <c r="AV16" s="166" t="str">
        <f>IF($Y16&lt;&gt;0,'Cost &amp; Benefit Inputs'!AE13*$Y16,"")</f>
        <v/>
      </c>
      <c r="AW16" s="166" t="str">
        <f>IF($Y16&lt;&gt;0,'Cost &amp; Benefit Inputs'!AF13*$Y16,"")</f>
        <v/>
      </c>
      <c r="AX16" s="166" t="str">
        <f>IF($Y16&lt;&gt;0,'Cost &amp; Benefit Inputs'!AG13*$Y16,"")</f>
        <v/>
      </c>
      <c r="AY16" s="31"/>
      <c r="AZ16" s="166" t="str">
        <f>IF($Y16&lt;&gt;0,'Cost &amp; Benefit Inputs'!AI13*$Y16,"")</f>
        <v/>
      </c>
      <c r="BA16" s="166" t="str">
        <f>IF($Y16&lt;&gt;0,'Cost &amp; Benefit Inputs'!AJ13*$Y16,"")</f>
        <v/>
      </c>
      <c r="BB16" s="166" t="str">
        <f>IF($Y16&lt;&gt;0,'Cost &amp; Benefit Inputs'!AK13*$Y16,"")</f>
        <v/>
      </c>
      <c r="BC16" s="166" t="str">
        <f>IF($Y16&lt;&gt;0,'Cost &amp; Benefit Inputs'!AL13*$Y16,"")</f>
        <v/>
      </c>
      <c r="BD16" s="173" t="str">
        <f>IF($Y16&lt;&gt;0,'Cost &amp; Benefit Inputs'!AM13,"")</f>
        <v/>
      </c>
    </row>
    <row r="17" spans="1:56" hidden="1" x14ac:dyDescent="0.2">
      <c r="A17" s="128" t="s">
        <v>114</v>
      </c>
      <c r="B17" s="176">
        <f>VLOOKUP($A17,'Scoring Inputs'!$A:$AH,2,0)</f>
        <v>0</v>
      </c>
      <c r="C17" s="129">
        <f>VLOOKUP($A17,'Scoring Inputs'!$A:$AH,3,0)</f>
        <v>0</v>
      </c>
      <c r="E17" s="198" t="str">
        <f>IF(ISBLANK(VLOOKUP($A17,'Scoring Inputs'!$A:$AH,4,0)),"",VLOOKUP($A17,'Scoring Inputs'!$A:$AH,4,0))</f>
        <v/>
      </c>
      <c r="G17" s="14" t="str">
        <f>IF(VLOOKUP($A17,'Scoring Inputs'!$A:$AH,10,0)="","",G$9*VLOOKUP(VLOOKUP($A17,'Scoring Inputs'!$A:$AH,10,0),RANK_TABLE,3,0))</f>
        <v/>
      </c>
      <c r="H17" s="247" t="str">
        <f>IF(VLOOKUP($A17,'Scoring Inputs'!$A:$AH,12,0)="","",$H$9*VLOOKUP(VLOOKUP($A17,'Scoring Inputs'!$A:$AH,12,0),RANK_TABLE,3,0))</f>
        <v/>
      </c>
      <c r="J17" s="255" t="str">
        <f>IF(VLOOKUP($A17,'Scoring Inputs'!$A:$AH,14,0)="","",$J$9*VLOOKUP(VLOOKUP($A17,'Scoring Inputs'!$A:$AH,14,0),RANK_TABLE,3,0))</f>
        <v/>
      </c>
      <c r="K17" s="15" t="str">
        <f>IF(VLOOKUP($A17,'Scoring Inputs'!$A:$AH,18,0)="","",$K$9*VLOOKUP(VLOOKUP($A17,'Scoring Inputs'!$A:$AH,18,0),RANK_TABLE,3,0))</f>
        <v/>
      </c>
      <c r="L17" s="140" t="str">
        <f>IF(VLOOKUP($A17,'Scoring Inputs'!$A:$AI,35,0)="","",L$9)</f>
        <v/>
      </c>
      <c r="M17" s="140" t="str">
        <f>IF(VLOOKUP($A17,'Scoring Inputs'!$A:$AH,6,0)="","",ROUND(VLOOKUP($A17,'Scoring Inputs'!$A:$AH,6,0)*M$9,0))</f>
        <v/>
      </c>
      <c r="N17" s="252" t="str">
        <f>IF(VLOOKUP($A17,'Scoring Inputs'!$A:$AH,16,0)="","",$N$9*VLOOKUP(VLOOKUP($A17,'Scoring Inputs'!$A:$AH,16,0),RANK_TABLE,3,0))</f>
        <v/>
      </c>
      <c r="O17" s="15" t="str">
        <f>IF(VLOOKUP($A17,'Scoring Inputs'!$A:$AH,20,0)="","",$O$9*VLOOKUP(VLOOKUP($A17,'Scoring Inputs'!$A:$AH,20,0),RANK_TABLE,3,0))</f>
        <v/>
      </c>
      <c r="P17" s="140" t="str">
        <f>IF(VLOOKUP($A17,'Scoring Inputs'!$A:$AH,23,0)="","",$P$9*VLOOKUP(VLOOKUP($A17,'Scoring Inputs'!$A:$AH,23,0),RANK_TABLE,3,0))</f>
        <v/>
      </c>
      <c r="Q17" s="204"/>
      <c r="R17" s="209">
        <f>IF(VLOOKUP($A17,'Scoring Inputs'!$A:$BF,28,0)="","",$R$9*VLOOKUP($A17,'Scoring Inputs'!$A:$BF,28,0))</f>
        <v>0</v>
      </c>
      <c r="T17" s="148">
        <f t="shared" si="4"/>
        <v>0</v>
      </c>
      <c r="U17" s="185">
        <f t="shared" si="3"/>
        <v>0</v>
      </c>
      <c r="W17" s="148"/>
      <c r="Y17" s="147">
        <v>0</v>
      </c>
      <c r="AB17" s="165" t="str">
        <f>IF($Y17&lt;&gt;0,'Cost &amp; Benefit Inputs'!G14*$Y17,"")</f>
        <v/>
      </c>
      <c r="AC17" s="166" t="str">
        <f>IF($Y17&lt;&gt;0,'Cost &amp; Benefit Inputs'!I14*$Y17,"")</f>
        <v/>
      </c>
      <c r="AD17" s="166" t="str">
        <f>IF($Y17&lt;&gt;0,'Cost &amp; Benefit Inputs'!K14*$Y17,"")</f>
        <v/>
      </c>
      <c r="AE17" s="166" t="str">
        <f>IF($Y17&lt;&gt;0,'Cost &amp; Benefit Inputs'!L14*$Y17,"")</f>
        <v/>
      </c>
      <c r="AF17" s="166" t="str">
        <f>IF($Y17&lt;&gt;0,'Cost &amp; Benefit Inputs'!M14*$Y17,"")</f>
        <v/>
      </c>
      <c r="AG17" s="166" t="str">
        <f>IF($Y17&lt;&gt;0,'Cost &amp; Benefit Inputs'!N14*$Y17,"")</f>
        <v/>
      </c>
      <c r="AH17" s="166" t="str">
        <f>IF($Y17&lt;&gt;0,'Cost &amp; Benefit Inputs'!O14*$Y17,"")</f>
        <v/>
      </c>
      <c r="AI17" s="166" t="str">
        <f>IF($Y17&lt;&gt;0,'Cost &amp; Benefit Inputs'!P14*$Y17,"")</f>
        <v/>
      </c>
      <c r="AJ17" s="167" t="str">
        <f>IF($Y17&lt;&gt;0,'Cost &amp; Benefit Inputs'!Q14,"")</f>
        <v/>
      </c>
      <c r="AL17" s="166" t="str">
        <f>IF($Y17,'Cost &amp; Benefit Inputs'!U14,"")</f>
        <v/>
      </c>
      <c r="AM17" s="166" t="str">
        <f>IF($Y17,'Cost &amp; Benefit Inputs'!V14,"")</f>
        <v/>
      </c>
      <c r="AN17" s="166" t="str">
        <f>IF($Y17,'Cost &amp; Benefit Inputs'!W14,"")</f>
        <v/>
      </c>
      <c r="AO17" s="166" t="str">
        <f>IF($Y17,'Cost &amp; Benefit Inputs'!X14,"")</f>
        <v/>
      </c>
      <c r="AP17" s="166" t="str">
        <f>IF($Y17,'Cost &amp; Benefit Inputs'!Y14,"")</f>
        <v/>
      </c>
      <c r="AQ17" s="166" t="str">
        <f>IF($Y17,'Cost &amp; Benefit Inputs'!Z14,"")</f>
        <v/>
      </c>
      <c r="AR17" s="31"/>
      <c r="AS17" s="166" t="str">
        <f>IF($Y17&lt;&gt;0,'Cost &amp; Benefit Inputs'!AB14*$Y17,"")</f>
        <v/>
      </c>
      <c r="AT17" s="166" t="str">
        <f>IF($Y17&lt;&gt;0,'Cost &amp; Benefit Inputs'!AC14*$Y17,"")</f>
        <v/>
      </c>
      <c r="AU17" s="165"/>
      <c r="AV17" s="166" t="str">
        <f>IF($Y17&lt;&gt;0,'Cost &amp; Benefit Inputs'!AE14*$Y17,"")</f>
        <v/>
      </c>
      <c r="AW17" s="166" t="str">
        <f>IF($Y17&lt;&gt;0,'Cost &amp; Benefit Inputs'!AF14*$Y17,"")</f>
        <v/>
      </c>
      <c r="AX17" s="166" t="str">
        <f>IF($Y17&lt;&gt;0,'Cost &amp; Benefit Inputs'!AG14*$Y17,"")</f>
        <v/>
      </c>
      <c r="AY17" s="31"/>
      <c r="AZ17" s="166" t="str">
        <f>IF($Y17&lt;&gt;0,'Cost &amp; Benefit Inputs'!AI14*$Y17,"")</f>
        <v/>
      </c>
      <c r="BA17" s="166" t="str">
        <f>IF($Y17&lt;&gt;0,'Cost &amp; Benefit Inputs'!AJ14*$Y17,"")</f>
        <v/>
      </c>
      <c r="BB17" s="166" t="str">
        <f>IF($Y17&lt;&gt;0,'Cost &amp; Benefit Inputs'!AK14*$Y17,"")</f>
        <v/>
      </c>
      <c r="BC17" s="166" t="str">
        <f>IF($Y17&lt;&gt;0,'Cost &amp; Benefit Inputs'!AL14*$Y17,"")</f>
        <v/>
      </c>
      <c r="BD17" s="173" t="str">
        <f>IF($Y17&lt;&gt;0,'Cost &amp; Benefit Inputs'!AM14,"")</f>
        <v/>
      </c>
    </row>
    <row r="18" spans="1:56" x14ac:dyDescent="0.2">
      <c r="A18" s="128" t="s">
        <v>115</v>
      </c>
      <c r="B18" s="129">
        <f>VLOOKUP($A18,'Scoring Inputs'!$A:$AH,2,0)</f>
        <v>0</v>
      </c>
      <c r="C18" s="129">
        <f>VLOOKUP($A18,'Scoring Inputs'!$A:$AH,3,0)</f>
        <v>0</v>
      </c>
      <c r="E18" s="198" t="str">
        <f>IF(ISBLANK(VLOOKUP($A18,'Scoring Inputs'!$A:$AH,4,0)),"",VLOOKUP($A18,'Scoring Inputs'!$A:$AH,4,0))</f>
        <v/>
      </c>
      <c r="G18" s="14" t="str">
        <f>IF(VLOOKUP($A18,'Scoring Inputs'!$A:$AH,10,0)="","",G$9*VLOOKUP(VLOOKUP($A18,'Scoring Inputs'!$A:$AH,10,0),RANK_TABLE,3,0))</f>
        <v/>
      </c>
      <c r="H18" s="247" t="str">
        <f>IF(VLOOKUP($A18,'Scoring Inputs'!$A:$AH,12,0)="","",$H$9*VLOOKUP(VLOOKUP($A18,'Scoring Inputs'!$A:$AH,12,0),RANK_TABLE,3,0))</f>
        <v/>
      </c>
      <c r="J18" s="255" t="str">
        <f>IF(VLOOKUP($A18,'Scoring Inputs'!$A:$AH,14,0)="","",$J$9*VLOOKUP(VLOOKUP($A18,'Scoring Inputs'!$A:$AH,14,0),RANK_TABLE,3,0))</f>
        <v/>
      </c>
      <c r="K18" s="15" t="str">
        <f>IF(VLOOKUP($A18,'Scoring Inputs'!$A:$AH,18,0)="","",$K$9*VLOOKUP(VLOOKUP($A18,'Scoring Inputs'!$A:$AH,18,0),RANK_TABLE,3,0))</f>
        <v/>
      </c>
      <c r="L18" s="140" t="str">
        <f>IF(VLOOKUP($A18,'Scoring Inputs'!$A:$AI,35,0)="","",L$9)</f>
        <v/>
      </c>
      <c r="M18" s="140" t="str">
        <f>IF(VLOOKUP($A18,'Scoring Inputs'!$A:$AH,6,0)="","",ROUND(VLOOKUP($A18,'Scoring Inputs'!$A:$AH,6,0)*M$9,0))</f>
        <v/>
      </c>
      <c r="N18" s="252" t="str">
        <f>IF(VLOOKUP($A18,'Scoring Inputs'!$A:$AH,16,0)="","",$N$9*VLOOKUP(VLOOKUP($A18,'Scoring Inputs'!$A:$AH,16,0),RANK_TABLE,3,0))</f>
        <v/>
      </c>
      <c r="O18" s="15" t="str">
        <f>IF(VLOOKUP($A18,'Scoring Inputs'!$A:$AH,20,0)="","",$O$9*VLOOKUP(VLOOKUP($A18,'Scoring Inputs'!$A:$AH,20,0),RANK_TABLE,3,0))</f>
        <v/>
      </c>
      <c r="P18" s="140" t="str">
        <f>IF(VLOOKUP($A18,'Scoring Inputs'!$A:$AH,23,0)="","",$P$9*VLOOKUP(VLOOKUP($A18,'Scoring Inputs'!$A:$AH,23,0),RANK_TABLE,3,0))</f>
        <v/>
      </c>
      <c r="Q18" s="204"/>
      <c r="R18" s="209">
        <f>IF(VLOOKUP($A18,'Scoring Inputs'!$A:$BF,28,0)="","",$R$9*VLOOKUP($A18,'Scoring Inputs'!$A:$BF,28,0))</f>
        <v>0</v>
      </c>
      <c r="T18" s="148">
        <f t="shared" si="4"/>
        <v>0</v>
      </c>
      <c r="U18" s="185">
        <f t="shared" si="3"/>
        <v>0</v>
      </c>
      <c r="W18" s="148"/>
      <c r="Y18" s="147">
        <v>0</v>
      </c>
      <c r="AB18" s="165" t="str">
        <f>IF($Y18&lt;&gt;0,'Cost &amp; Benefit Inputs'!G15*$Y18,"")</f>
        <v/>
      </c>
      <c r="AC18" s="166" t="str">
        <f>IF($Y18&lt;&gt;0,'Cost &amp; Benefit Inputs'!I15*$Y18,"")</f>
        <v/>
      </c>
      <c r="AD18" s="166" t="str">
        <f>IF($Y18&lt;&gt;0,'Cost &amp; Benefit Inputs'!K15*$Y18,"")</f>
        <v/>
      </c>
      <c r="AE18" s="166" t="str">
        <f>IF($Y18&lt;&gt;0,'Cost &amp; Benefit Inputs'!L15*$Y18,"")</f>
        <v/>
      </c>
      <c r="AF18" s="166" t="str">
        <f>IF($Y18&lt;&gt;0,'Cost &amp; Benefit Inputs'!M15*$Y18,"")</f>
        <v/>
      </c>
      <c r="AG18" s="166" t="str">
        <f>IF($Y18&lt;&gt;0,'Cost &amp; Benefit Inputs'!N15*$Y18,"")</f>
        <v/>
      </c>
      <c r="AH18" s="166" t="str">
        <f>IF($Y18&lt;&gt;0,'Cost &amp; Benefit Inputs'!O15*$Y18,"")</f>
        <v/>
      </c>
      <c r="AI18" s="166" t="str">
        <f>IF($Y18&lt;&gt;0,'Cost &amp; Benefit Inputs'!P15*$Y18,"")</f>
        <v/>
      </c>
      <c r="AJ18" s="167" t="str">
        <f>IF($Y18&lt;&gt;0,'Cost &amp; Benefit Inputs'!Q15,"")</f>
        <v/>
      </c>
      <c r="AL18" s="166" t="str">
        <f>IF($Y18,'Cost &amp; Benefit Inputs'!U15,"")</f>
        <v/>
      </c>
      <c r="AM18" s="166" t="str">
        <f>IF($Y18,'Cost &amp; Benefit Inputs'!V15,"")</f>
        <v/>
      </c>
      <c r="AN18" s="166" t="str">
        <f>IF($Y18,'Cost &amp; Benefit Inputs'!W15,"")</f>
        <v/>
      </c>
      <c r="AO18" s="166" t="str">
        <f>IF($Y18,'Cost &amp; Benefit Inputs'!X15,"")</f>
        <v/>
      </c>
      <c r="AP18" s="166" t="str">
        <f>IF($Y18,'Cost &amp; Benefit Inputs'!Y15,"")</f>
        <v/>
      </c>
      <c r="AQ18" s="166" t="str">
        <f>IF($Y18,'Cost &amp; Benefit Inputs'!Z15,"")</f>
        <v/>
      </c>
      <c r="AR18" s="31"/>
      <c r="AS18" s="166" t="str">
        <f>IF($Y18&lt;&gt;0,'Cost &amp; Benefit Inputs'!AB15*$Y18,"")</f>
        <v/>
      </c>
      <c r="AT18" s="166" t="str">
        <f>IF($Y18&lt;&gt;0,'Cost &amp; Benefit Inputs'!AC15*$Y18,"")</f>
        <v/>
      </c>
      <c r="AU18" s="165"/>
      <c r="AV18" s="166" t="str">
        <f>IF($Y18&lt;&gt;0,'Cost &amp; Benefit Inputs'!AE15*$Y18,"")</f>
        <v/>
      </c>
      <c r="AW18" s="166" t="str">
        <f>IF($Y18&lt;&gt;0,'Cost &amp; Benefit Inputs'!AF15*$Y18,"")</f>
        <v/>
      </c>
      <c r="AX18" s="166" t="str">
        <f>IF($Y18&lt;&gt;0,'Cost &amp; Benefit Inputs'!AG15*$Y18,"")</f>
        <v/>
      </c>
      <c r="AY18" s="31"/>
      <c r="AZ18" s="166" t="str">
        <f>IF($Y18&lt;&gt;0,'Cost &amp; Benefit Inputs'!AI15*$Y18,"")</f>
        <v/>
      </c>
      <c r="BA18" s="166" t="str">
        <f>IF($Y18&lt;&gt;0,'Cost &amp; Benefit Inputs'!AJ15*$Y18,"")</f>
        <v/>
      </c>
      <c r="BB18" s="166" t="str">
        <f>IF($Y18&lt;&gt;0,'Cost &amp; Benefit Inputs'!AK15*$Y18,"")</f>
        <v/>
      </c>
      <c r="BC18" s="166" t="str">
        <f>IF($Y18&lt;&gt;0,'Cost &amp; Benefit Inputs'!AL15*$Y18,"")</f>
        <v/>
      </c>
      <c r="BD18" s="173" t="str">
        <f>IF($Y18&lt;&gt;0,'Cost &amp; Benefit Inputs'!AM15,"")</f>
        <v/>
      </c>
    </row>
    <row r="19" spans="1:56" x14ac:dyDescent="0.2">
      <c r="A19" s="128" t="s">
        <v>116</v>
      </c>
      <c r="B19" s="129">
        <f>VLOOKUP($A19,'Scoring Inputs'!$A:$AH,2,0)</f>
        <v>0</v>
      </c>
      <c r="C19" s="129">
        <f>VLOOKUP($A19,'Scoring Inputs'!$A:$AH,3,0)</f>
        <v>0</v>
      </c>
      <c r="E19" s="198" t="str">
        <f>IF(ISBLANK(VLOOKUP($A19,'Scoring Inputs'!$A:$AH,4,0)),"",VLOOKUP($A19,'Scoring Inputs'!$A:$AH,4,0))</f>
        <v/>
      </c>
      <c r="G19" s="14" t="str">
        <f>IF(VLOOKUP($A19,'Scoring Inputs'!$A:$AH,10,0)="","",G$9*VLOOKUP(VLOOKUP($A19,'Scoring Inputs'!$A:$AH,10,0),RANK_TABLE,3,0))</f>
        <v/>
      </c>
      <c r="H19" s="247" t="str">
        <f>IF(VLOOKUP($A19,'Scoring Inputs'!$A:$AH,12,0)="","",$H$9*VLOOKUP(VLOOKUP($A19,'Scoring Inputs'!$A:$AH,12,0),RANK_TABLE,3,0))</f>
        <v/>
      </c>
      <c r="J19" s="255" t="str">
        <f>IF(VLOOKUP($A19,'Scoring Inputs'!$A:$AH,14,0)="","",$J$9*VLOOKUP(VLOOKUP($A19,'Scoring Inputs'!$A:$AH,14,0),RANK_TABLE,3,0))</f>
        <v/>
      </c>
      <c r="K19" s="15" t="str">
        <f>IF(VLOOKUP($A19,'Scoring Inputs'!$A:$AH,18,0)="","",$K$9*VLOOKUP(VLOOKUP($A19,'Scoring Inputs'!$A:$AH,18,0),RANK_TABLE,3,0))</f>
        <v/>
      </c>
      <c r="L19" s="140" t="str">
        <f>IF(VLOOKUP($A19,'Scoring Inputs'!$A:$AI,35,0)="","",L$9)</f>
        <v/>
      </c>
      <c r="M19" s="140" t="str">
        <f>IF(VLOOKUP($A19,'Scoring Inputs'!$A:$AH,6,0)="","",ROUND(VLOOKUP($A19,'Scoring Inputs'!$A:$AH,6,0)*M$9,0))</f>
        <v/>
      </c>
      <c r="N19" s="252" t="str">
        <f>IF(VLOOKUP($A19,'Scoring Inputs'!$A:$AH,16,0)="","",$N$9*VLOOKUP(VLOOKUP($A19,'Scoring Inputs'!$A:$AH,16,0),RANK_TABLE,3,0))</f>
        <v/>
      </c>
      <c r="O19" s="15" t="str">
        <f>IF(VLOOKUP($A19,'Scoring Inputs'!$A:$AH,20,0)="","",$O$9*VLOOKUP(VLOOKUP($A19,'Scoring Inputs'!$A:$AH,20,0),RANK_TABLE,3,0))</f>
        <v/>
      </c>
      <c r="P19" s="140" t="str">
        <f>IF(VLOOKUP($A19,'Scoring Inputs'!$A:$AH,23,0)="","",$P$9*VLOOKUP(VLOOKUP($A19,'Scoring Inputs'!$A:$AH,23,0),RANK_TABLE,3,0))</f>
        <v/>
      </c>
      <c r="Q19" s="204"/>
      <c r="R19" s="209">
        <f>IF(VLOOKUP($A19,'Scoring Inputs'!$A:$BF,28,0)="","",$R$9*VLOOKUP($A19,'Scoring Inputs'!$A:$BF,28,0))</f>
        <v>0</v>
      </c>
      <c r="T19" s="148">
        <f t="shared" si="4"/>
        <v>0</v>
      </c>
      <c r="U19" s="185">
        <f t="shared" si="3"/>
        <v>0</v>
      </c>
      <c r="W19" s="148"/>
      <c r="Y19" s="147">
        <v>0</v>
      </c>
      <c r="AB19" s="165" t="str">
        <f>IF($Y19&lt;&gt;0,'Cost &amp; Benefit Inputs'!G16*$Y19,"")</f>
        <v/>
      </c>
      <c r="AC19" s="166" t="str">
        <f>IF($Y19&lt;&gt;0,'Cost &amp; Benefit Inputs'!I16*$Y19,"")</f>
        <v/>
      </c>
      <c r="AD19" s="166" t="str">
        <f>IF($Y19&lt;&gt;0,'Cost &amp; Benefit Inputs'!K16*$Y19,"")</f>
        <v/>
      </c>
      <c r="AE19" s="166" t="str">
        <f>IF($Y19&lt;&gt;0,'Cost &amp; Benefit Inputs'!L16*$Y19,"")</f>
        <v/>
      </c>
      <c r="AF19" s="166" t="str">
        <f>IF($Y19&lt;&gt;0,'Cost &amp; Benefit Inputs'!M16*$Y19,"")</f>
        <v/>
      </c>
      <c r="AG19" s="166" t="str">
        <f>IF($Y19&lt;&gt;0,'Cost &amp; Benefit Inputs'!N16*$Y19,"")</f>
        <v/>
      </c>
      <c r="AH19" s="166" t="str">
        <f>IF($Y19&lt;&gt;0,'Cost &amp; Benefit Inputs'!O16*$Y19,"")</f>
        <v/>
      </c>
      <c r="AI19" s="166" t="str">
        <f>IF($Y19&lt;&gt;0,'Cost &amp; Benefit Inputs'!P16*$Y19,"")</f>
        <v/>
      </c>
      <c r="AJ19" s="167" t="str">
        <f>IF($Y19&lt;&gt;0,'Cost &amp; Benefit Inputs'!Q16,"")</f>
        <v/>
      </c>
      <c r="AL19" s="166" t="str">
        <f>IF($Y19,'Cost &amp; Benefit Inputs'!U16,"")</f>
        <v/>
      </c>
      <c r="AM19" s="166" t="str">
        <f>IF($Y19,'Cost &amp; Benefit Inputs'!V16,"")</f>
        <v/>
      </c>
      <c r="AN19" s="166" t="str">
        <f>IF($Y19,'Cost &amp; Benefit Inputs'!W16,"")</f>
        <v/>
      </c>
      <c r="AO19" s="166" t="str">
        <f>IF($Y19,'Cost &amp; Benefit Inputs'!X16,"")</f>
        <v/>
      </c>
      <c r="AP19" s="166" t="str">
        <f>IF($Y19,'Cost &amp; Benefit Inputs'!Y16,"")</f>
        <v/>
      </c>
      <c r="AQ19" s="166" t="str">
        <f>IF($Y19,'Cost &amp; Benefit Inputs'!Z16,"")</f>
        <v/>
      </c>
      <c r="AR19" s="31"/>
      <c r="AS19" s="166" t="str">
        <f>IF($Y19&lt;&gt;0,'Cost &amp; Benefit Inputs'!AB16*$Y19,"")</f>
        <v/>
      </c>
      <c r="AT19" s="166" t="str">
        <f>IF($Y19&lt;&gt;0,'Cost &amp; Benefit Inputs'!AC16*$Y19,"")</f>
        <v/>
      </c>
      <c r="AU19" s="165"/>
      <c r="AV19" s="166" t="str">
        <f>IF($Y19&lt;&gt;0,'Cost &amp; Benefit Inputs'!AE16*$Y19,"")</f>
        <v/>
      </c>
      <c r="AW19" s="166" t="str">
        <f>IF($Y19&lt;&gt;0,'Cost &amp; Benefit Inputs'!AF16*$Y19,"")</f>
        <v/>
      </c>
      <c r="AX19" s="166" t="str">
        <f>IF($Y19&lt;&gt;0,'Cost &amp; Benefit Inputs'!AG16*$Y19,"")</f>
        <v/>
      </c>
      <c r="AY19" s="31"/>
      <c r="AZ19" s="166" t="str">
        <f>IF($Y19&lt;&gt;0,'Cost &amp; Benefit Inputs'!AI16*$Y19,"")</f>
        <v/>
      </c>
      <c r="BA19" s="166" t="str">
        <f>IF($Y19&lt;&gt;0,'Cost &amp; Benefit Inputs'!AJ16*$Y19,"")</f>
        <v/>
      </c>
      <c r="BB19" s="166" t="str">
        <f>IF($Y19&lt;&gt;0,'Cost &amp; Benefit Inputs'!AK16*$Y19,"")</f>
        <v/>
      </c>
      <c r="BC19" s="166" t="str">
        <f>IF($Y19&lt;&gt;0,'Cost &amp; Benefit Inputs'!AL16*$Y19,"")</f>
        <v/>
      </c>
      <c r="BD19" s="173" t="str">
        <f>IF($Y19&lt;&gt;0,'Cost &amp; Benefit Inputs'!AM16,"")</f>
        <v/>
      </c>
    </row>
    <row r="20" spans="1:56" x14ac:dyDescent="0.2">
      <c r="A20" s="128" t="s">
        <v>117</v>
      </c>
      <c r="B20" s="283" t="str">
        <f>VLOOKUP($A20,'Scoring Inputs'!$A:$AH,2,0)</f>
        <v>ELECTRIC AND THERMAL PROGRAMS</v>
      </c>
      <c r="C20" s="129">
        <f>VLOOKUP($A20,'Scoring Inputs'!$A:$AH,3,0)</f>
        <v>0</v>
      </c>
      <c r="E20" s="198" t="str">
        <f>IF(ISBLANK(VLOOKUP($A20,'Scoring Inputs'!$A:$AH,4,0)),"",VLOOKUP($A20,'Scoring Inputs'!$A:$AH,4,0))</f>
        <v/>
      </c>
      <c r="G20" s="14" t="str">
        <f>IF(VLOOKUP($A20,'Scoring Inputs'!$A:$AH,10,0)="","",G$9*VLOOKUP(VLOOKUP($A20,'Scoring Inputs'!$A:$AH,10,0),RANK_TABLE,3,0))</f>
        <v/>
      </c>
      <c r="H20" s="247" t="str">
        <f>IF(VLOOKUP($A20,'Scoring Inputs'!$A:$AH,12,0)="","",$H$9*VLOOKUP(VLOOKUP($A20,'Scoring Inputs'!$A:$AH,12,0),RANK_TABLE,3,0))</f>
        <v/>
      </c>
      <c r="J20" s="255" t="str">
        <f>IF(VLOOKUP($A20,'Scoring Inputs'!$A:$AH,14,0)="","",$J$9*VLOOKUP(VLOOKUP($A20,'Scoring Inputs'!$A:$AH,14,0),RANK_TABLE,3,0))</f>
        <v/>
      </c>
      <c r="K20" s="15" t="str">
        <f>IF(VLOOKUP($A20,'Scoring Inputs'!$A:$AH,18,0)="","",$K$9*VLOOKUP(VLOOKUP($A20,'Scoring Inputs'!$A:$AH,18,0),RANK_TABLE,3,0))</f>
        <v/>
      </c>
      <c r="L20" s="140" t="str">
        <f>IF(VLOOKUP($A20,'Scoring Inputs'!$A:$AI,35,0)="","",L$9)</f>
        <v/>
      </c>
      <c r="M20" s="140" t="str">
        <f>IF(VLOOKUP($A20,'Scoring Inputs'!$A:$AH,6,0)="","",ROUND(VLOOKUP($A20,'Scoring Inputs'!$A:$AH,6,0)*M$9,0))</f>
        <v/>
      </c>
      <c r="N20" s="252" t="str">
        <f>IF(VLOOKUP($A20,'Scoring Inputs'!$A:$AH,16,0)="","",$N$9*VLOOKUP(VLOOKUP($A20,'Scoring Inputs'!$A:$AH,16,0),RANK_TABLE,3,0))</f>
        <v/>
      </c>
      <c r="O20" s="15" t="str">
        <f>IF(VLOOKUP($A20,'Scoring Inputs'!$A:$AH,20,0)="","",$O$9*VLOOKUP(VLOOKUP($A20,'Scoring Inputs'!$A:$AH,20,0),RANK_TABLE,3,0))</f>
        <v/>
      </c>
      <c r="P20" s="140" t="str">
        <f>IF(VLOOKUP($A20,'Scoring Inputs'!$A:$AH,23,0)="","",$P$9*VLOOKUP(VLOOKUP($A20,'Scoring Inputs'!$A:$AH,23,0),RANK_TABLE,3,0))</f>
        <v/>
      </c>
      <c r="Q20" s="204"/>
      <c r="R20" s="209">
        <f>IF(VLOOKUP($A20,'Scoring Inputs'!$A:$BF,28,0)="","",$R$9*VLOOKUP($A20,'Scoring Inputs'!$A:$BF,28,0))</f>
        <v>0</v>
      </c>
      <c r="T20" s="148">
        <f t="shared" ref="T20:T42" si="6">SUM(F20:S20)</f>
        <v>0</v>
      </c>
      <c r="U20" s="185">
        <f t="shared" ref="U20:U42" si="7">T20/MAX_Points</f>
        <v>0</v>
      </c>
      <c r="W20" s="148"/>
      <c r="Y20" s="147">
        <v>0</v>
      </c>
      <c r="AB20" s="165" t="str">
        <f>IF($Y20&lt;&gt;0,'Cost &amp; Benefit Inputs'!G17*$Y20,"")</f>
        <v/>
      </c>
      <c r="AC20" s="166" t="str">
        <f>IF($Y20&lt;&gt;0,'Cost &amp; Benefit Inputs'!I17*$Y20,"")</f>
        <v/>
      </c>
      <c r="AD20" s="166" t="str">
        <f>IF($Y20&lt;&gt;0,'Cost &amp; Benefit Inputs'!K17*$Y20,"")</f>
        <v/>
      </c>
      <c r="AE20" s="166" t="str">
        <f>IF($Y20&lt;&gt;0,'Cost &amp; Benefit Inputs'!L17*$Y20,"")</f>
        <v/>
      </c>
      <c r="AF20" s="166" t="str">
        <f>IF($Y20&lt;&gt;0,'Cost &amp; Benefit Inputs'!M17*$Y20,"")</f>
        <v/>
      </c>
      <c r="AG20" s="166" t="str">
        <f>IF($Y20&lt;&gt;0,'Cost &amp; Benefit Inputs'!N17*$Y20,"")</f>
        <v/>
      </c>
      <c r="AH20" s="166" t="str">
        <f>IF($Y20&lt;&gt;0,'Cost &amp; Benefit Inputs'!O17*$Y20,"")</f>
        <v/>
      </c>
      <c r="AI20" s="166" t="str">
        <f>IF($Y20&lt;&gt;0,'Cost &amp; Benefit Inputs'!P17*$Y20,"")</f>
        <v/>
      </c>
      <c r="AJ20" s="167" t="str">
        <f>IF($Y20&lt;&gt;0,'Cost &amp; Benefit Inputs'!Q17,"")</f>
        <v/>
      </c>
      <c r="AL20" s="166" t="str">
        <f>IF($Y20,'Cost &amp; Benefit Inputs'!U17,"")</f>
        <v/>
      </c>
      <c r="AM20" s="166" t="str">
        <f>IF($Y20,'Cost &amp; Benefit Inputs'!V17,"")</f>
        <v/>
      </c>
      <c r="AN20" s="166" t="str">
        <f>IF($Y20,'Cost &amp; Benefit Inputs'!W17,"")</f>
        <v/>
      </c>
      <c r="AO20" s="166" t="str">
        <f>IF($Y20,'Cost &amp; Benefit Inputs'!X17,"")</f>
        <v/>
      </c>
      <c r="AP20" s="166" t="str">
        <f>IF($Y20,'Cost &amp; Benefit Inputs'!Y17,"")</f>
        <v/>
      </c>
      <c r="AQ20" s="166" t="str">
        <f>IF($Y20,'Cost &amp; Benefit Inputs'!Z17,"")</f>
        <v/>
      </c>
      <c r="AR20" s="31"/>
      <c r="AS20" s="166" t="str">
        <f>IF($Y20&lt;&gt;0,'Cost &amp; Benefit Inputs'!AB17*$Y20,"")</f>
        <v/>
      </c>
      <c r="AT20" s="166" t="str">
        <f>IF($Y20&lt;&gt;0,'Cost &amp; Benefit Inputs'!AC17*$Y20,"")</f>
        <v/>
      </c>
      <c r="AU20" s="165"/>
      <c r="AV20" s="166" t="str">
        <f>IF($Y20&lt;&gt;0,'Cost &amp; Benefit Inputs'!AE17*$Y20,"")</f>
        <v/>
      </c>
      <c r="AW20" s="166" t="str">
        <f>IF($Y20&lt;&gt;0,'Cost &amp; Benefit Inputs'!AF17*$Y20,"")</f>
        <v/>
      </c>
      <c r="AX20" s="166" t="str">
        <f>IF($Y20&lt;&gt;0,'Cost &amp; Benefit Inputs'!AG17*$Y20,"")</f>
        <v/>
      </c>
      <c r="AY20" s="31"/>
      <c r="AZ20" s="166" t="str">
        <f>IF($Y20&lt;&gt;0,'Cost &amp; Benefit Inputs'!AI17*$Y20,"")</f>
        <v/>
      </c>
      <c r="BA20" s="166" t="str">
        <f>IF($Y20&lt;&gt;0,'Cost &amp; Benefit Inputs'!AJ17*$Y20,"")</f>
        <v/>
      </c>
      <c r="BB20" s="166" t="str">
        <f>IF($Y20&lt;&gt;0,'Cost &amp; Benefit Inputs'!AK17*$Y20,"")</f>
        <v/>
      </c>
      <c r="BC20" s="166" t="str">
        <f>IF($Y20&lt;&gt;0,'Cost &amp; Benefit Inputs'!AL17*$Y20,"")</f>
        <v/>
      </c>
      <c r="BD20" s="173" t="str">
        <f>IF($Y20&lt;&gt;0,'Cost &amp; Benefit Inputs'!AM17,"")</f>
        <v/>
      </c>
    </row>
    <row r="21" spans="1:56" x14ac:dyDescent="0.2">
      <c r="A21" s="128" t="s">
        <v>118</v>
      </c>
      <c r="B21" s="129" t="str">
        <f>VLOOKUP($A21,'Scoring Inputs'!$A:$AH,2,0)</f>
        <v>Residential Efficiency</v>
      </c>
      <c r="C21" s="129" t="str">
        <f>VLOOKUP($A21,'Scoring Inputs'!$A:$AH,3,0)</f>
        <v>NWWVT</v>
      </c>
      <c r="E21" s="198" t="str">
        <f>IF(ISBLANK(VLOOKUP($A21,'Scoring Inputs'!$A:$AH,4,0)),"",VLOOKUP($A21,'Scoring Inputs'!$A:$AH,4,0))</f>
        <v>Yes</v>
      </c>
      <c r="G21" s="14">
        <f>IF(VLOOKUP($A21,'Scoring Inputs'!$A:$AH,10,0)="","",G$9*VLOOKUP(VLOOKUP($A21,'Scoring Inputs'!$A:$AH,10,0),RANK_TABLE,3,0))</f>
        <v>20</v>
      </c>
      <c r="H21" s="247">
        <f>IF(VLOOKUP($A21,'Scoring Inputs'!$A:$AH,12,0)="","",$H$9*VLOOKUP(VLOOKUP($A21,'Scoring Inputs'!$A:$AH,12,0),RANK_TABLE,3,0))</f>
        <v>20</v>
      </c>
      <c r="J21" s="255">
        <f>IF(VLOOKUP($A21,'Scoring Inputs'!$A:$AH,14,0)="","",$J$9*VLOOKUP(VLOOKUP($A21,'Scoring Inputs'!$A:$AH,14,0),RANK_TABLE,3,0))</f>
        <v>10</v>
      </c>
      <c r="K21" s="15">
        <f>IF(VLOOKUP($A21,'Scoring Inputs'!$A:$AH,18,0)="","",$K$9*VLOOKUP(VLOOKUP($A21,'Scoring Inputs'!$A:$AH,18,0),RANK_TABLE,3,0))</f>
        <v>5</v>
      </c>
      <c r="L21" s="140" t="str">
        <f>IF(VLOOKUP($A21,'Scoring Inputs'!$A:$AI,35,0)="","",L$9)</f>
        <v/>
      </c>
      <c r="M21" s="140">
        <f>IF(VLOOKUP($A21,'Scoring Inputs'!$A:$AH,6,0)="","",ROUND(VLOOKUP($A21,'Scoring Inputs'!$A:$AH,6,0)*M$9,0))</f>
        <v>3</v>
      </c>
      <c r="N21" s="252">
        <f>IF(VLOOKUP($A21,'Scoring Inputs'!$A:$AH,16,0)="","",$N$9*VLOOKUP(VLOOKUP($A21,'Scoring Inputs'!$A:$AH,16,0),RANK_TABLE,3,0))</f>
        <v>0</v>
      </c>
      <c r="O21" s="15">
        <f>IF(VLOOKUP($A21,'Scoring Inputs'!$A:$AH,20,0)="","",$O$9*VLOOKUP(VLOOKUP($A21,'Scoring Inputs'!$A:$AH,20,0),RANK_TABLE,3,0))</f>
        <v>0</v>
      </c>
      <c r="P21" s="140">
        <f>IF(VLOOKUP($A21,'Scoring Inputs'!$A:$AH,23,0)="","",$P$9*VLOOKUP(VLOOKUP($A21,'Scoring Inputs'!$A:$AH,23,0),RANK_TABLE,3,0))</f>
        <v>0</v>
      </c>
      <c r="Q21" s="204"/>
      <c r="R21" s="209">
        <f>IF(VLOOKUP($A21,'Scoring Inputs'!$A:$BF,28,0)="","",$R$9*VLOOKUP($A21,'Scoring Inputs'!$A:$BF,28,0))</f>
        <v>10</v>
      </c>
      <c r="T21" s="148">
        <f t="shared" si="6"/>
        <v>68</v>
      </c>
      <c r="U21" s="185">
        <f t="shared" si="7"/>
        <v>0.68</v>
      </c>
      <c r="W21" s="148">
        <f t="shared" si="5"/>
        <v>3</v>
      </c>
      <c r="Y21" s="147">
        <v>1</v>
      </c>
      <c r="AB21" s="165">
        <f>IF($Y21&lt;&gt;0,'Cost &amp; Benefit Inputs'!G18*$Y21,"")</f>
        <v>210</v>
      </c>
      <c r="AC21" s="166">
        <f>IF($Y21&lt;&gt;0,'Cost &amp; Benefit Inputs'!I18*$Y21,"")</f>
        <v>246000</v>
      </c>
      <c r="AD21" s="166">
        <f>IF($Y21&lt;&gt;0,'Cost &amp; Benefit Inputs'!K18*$Y21,"")</f>
        <v>221400</v>
      </c>
      <c r="AE21" s="166">
        <f>IF($Y21&lt;&gt;0,'Cost &amp; Benefit Inputs'!L18*$Y21,"")</f>
        <v>529200</v>
      </c>
      <c r="AF21" s="166">
        <f>IF($Y21&lt;&gt;0,'Cost &amp; Benefit Inputs'!M18*$Y21,"")</f>
        <v>750600</v>
      </c>
      <c r="AG21" s="166">
        <f>IF($Y21&lt;&gt;0,'Cost &amp; Benefit Inputs'!N18*$Y21,"")</f>
        <v>1609157.1699338383</v>
      </c>
      <c r="AH21" s="166">
        <f>IF($Y21&lt;&gt;0,'Cost &amp; Benefit Inputs'!O18*$Y21,"")</f>
        <v>858557.16993383842</v>
      </c>
      <c r="AI21" s="166">
        <f>IF($Y21&lt;&gt;0,'Cost &amp; Benefit Inputs'!P18*$Y21,"")</f>
        <v>399000</v>
      </c>
      <c r="AJ21" s="167">
        <f>IF($Y21&lt;&gt;0,'Cost &amp; Benefit Inputs'!Q18,"")</f>
        <v>2.1517723557239057</v>
      </c>
      <c r="AL21" s="166">
        <f>IF($Y21,'Cost &amp; Benefit Inputs'!U18,"")</f>
        <v>0</v>
      </c>
      <c r="AM21" s="166">
        <f>IF($Y21,'Cost &amp; Benefit Inputs'!V18,"")</f>
        <v>0</v>
      </c>
      <c r="AN21" s="166">
        <f>IF($Y21,'Cost &amp; Benefit Inputs'!W18,"")</f>
        <v>0</v>
      </c>
      <c r="AO21" s="166">
        <f>IF($Y21,'Cost &amp; Benefit Inputs'!X18,"")</f>
        <v>0</v>
      </c>
      <c r="AP21" s="166">
        <f>IF($Y21,'Cost &amp; Benefit Inputs'!Y18,"")</f>
        <v>399000</v>
      </c>
      <c r="AQ21" s="166">
        <f>IF($Y21,'Cost &amp; Benefit Inputs'!Z18,"")</f>
        <v>399000</v>
      </c>
      <c r="AR21" s="31"/>
      <c r="AS21" s="166">
        <f>IF($Y21&lt;&gt;0,'Cost &amp; Benefit Inputs'!AB18*$Y21,"")</f>
        <v>199500</v>
      </c>
      <c r="AT21" s="166">
        <f>IF($Y21&lt;&gt;0,'Cost &amp; Benefit Inputs'!AC18*$Y21,"")</f>
        <v>199500</v>
      </c>
      <c r="AU21" s="165"/>
      <c r="AV21" s="166">
        <f>IF($Y21&lt;&gt;0,'Cost &amp; Benefit Inputs'!AE18*$Y21,"")</f>
        <v>399000</v>
      </c>
      <c r="AW21" s="166">
        <f>IF($Y21&lt;&gt;0,'Cost &amp; Benefit Inputs'!AF18*$Y21,"")</f>
        <v>0</v>
      </c>
      <c r="AX21" s="166">
        <f>IF($Y21&lt;&gt;0,'Cost &amp; Benefit Inputs'!AG18*$Y21,"")</f>
        <v>0</v>
      </c>
      <c r="AY21" s="31"/>
      <c r="AZ21" s="166">
        <f>IF($Y21&lt;&gt;0,'Cost &amp; Benefit Inputs'!AI18*$Y21,"")</f>
        <v>1128000</v>
      </c>
      <c r="BA21" s="166">
        <f>IF($Y21&lt;&gt;0,'Cost &amp; Benefit Inputs'!AJ18*$Y21,"")</f>
        <v>210000</v>
      </c>
      <c r="BB21" s="166">
        <f>IF($Y21&lt;&gt;0,'Cost &amp; Benefit Inputs'!AK18*$Y21,"")</f>
        <v>399000</v>
      </c>
      <c r="BC21" s="166">
        <f>IF($Y21&lt;&gt;0,'Cost &amp; Benefit Inputs'!AL18*$Y21,"")</f>
        <v>1737000</v>
      </c>
      <c r="BD21" s="173">
        <f>IF($Y21&lt;&gt;0,'Cost &amp; Benefit Inputs'!AM18,"")</f>
        <v>3.3533834586466167</v>
      </c>
    </row>
    <row r="22" spans="1:56" x14ac:dyDescent="0.2">
      <c r="A22" s="128" t="s">
        <v>119</v>
      </c>
      <c r="B22" s="129">
        <f>VLOOKUP($A22,'Scoring Inputs'!$A:$AH,2,0)</f>
        <v>0</v>
      </c>
      <c r="C22" s="129">
        <f>VLOOKUP($A22,'Scoring Inputs'!$A:$AH,3,0)</f>
        <v>0</v>
      </c>
      <c r="E22" s="198" t="str">
        <f>IF(ISBLANK(VLOOKUP($A22,'Scoring Inputs'!$A:$AH,4,0)),"",VLOOKUP($A22,'Scoring Inputs'!$A:$AH,4,0))</f>
        <v/>
      </c>
      <c r="G22" s="14" t="str">
        <f>IF(VLOOKUP($A22,'Scoring Inputs'!$A:$AH,10,0)="","",G$9*VLOOKUP(VLOOKUP($A22,'Scoring Inputs'!$A:$AH,10,0),RANK_TABLE,3,0))</f>
        <v/>
      </c>
      <c r="H22" s="247" t="str">
        <f>IF(VLOOKUP($A22,'Scoring Inputs'!$A:$AH,12,0)="","",$H$9*VLOOKUP(VLOOKUP($A22,'Scoring Inputs'!$A:$AH,12,0),RANK_TABLE,3,0))</f>
        <v/>
      </c>
      <c r="J22" s="255" t="str">
        <f>IF(VLOOKUP($A22,'Scoring Inputs'!$A:$AH,14,0)="","",$J$9*VLOOKUP(VLOOKUP($A22,'Scoring Inputs'!$A:$AH,14,0),RANK_TABLE,3,0))</f>
        <v/>
      </c>
      <c r="K22" s="15" t="str">
        <f>IF(VLOOKUP($A22,'Scoring Inputs'!$A:$AH,18,0)="","",$K$9*VLOOKUP(VLOOKUP($A22,'Scoring Inputs'!$A:$AH,18,0),RANK_TABLE,3,0))</f>
        <v/>
      </c>
      <c r="L22" s="140" t="str">
        <f>IF(VLOOKUP($A22,'Scoring Inputs'!$A:$AI,35,0)="","",L$9)</f>
        <v/>
      </c>
      <c r="M22" s="140" t="str">
        <f>IF(VLOOKUP($A22,'Scoring Inputs'!$A:$AH,6,0)="","",ROUND(VLOOKUP($A22,'Scoring Inputs'!$A:$AH,6,0)*M$9,0))</f>
        <v/>
      </c>
      <c r="N22" s="252" t="str">
        <f>IF(VLOOKUP($A22,'Scoring Inputs'!$A:$AH,16,0)="","",$N$9*VLOOKUP(VLOOKUP($A22,'Scoring Inputs'!$A:$AH,16,0),RANK_TABLE,3,0))</f>
        <v/>
      </c>
      <c r="O22" s="15" t="str">
        <f>IF(VLOOKUP($A22,'Scoring Inputs'!$A:$AH,20,0)="","",$O$9*VLOOKUP(VLOOKUP($A22,'Scoring Inputs'!$A:$AH,20,0),RANK_TABLE,3,0))</f>
        <v/>
      </c>
      <c r="P22" s="140" t="str">
        <f>IF(VLOOKUP($A22,'Scoring Inputs'!$A:$AH,23,0)="","",$P$9*VLOOKUP(VLOOKUP($A22,'Scoring Inputs'!$A:$AH,23,0),RANK_TABLE,3,0))</f>
        <v/>
      </c>
      <c r="Q22" s="204"/>
      <c r="R22" s="209">
        <f>IF(VLOOKUP($A22,'Scoring Inputs'!$A:$BF,28,0)="","",$R$9*VLOOKUP($A22,'Scoring Inputs'!$A:$BF,28,0))</f>
        <v>0</v>
      </c>
      <c r="T22" s="148">
        <f t="shared" si="6"/>
        <v>0</v>
      </c>
      <c r="U22" s="185">
        <f t="shared" si="7"/>
        <v>0</v>
      </c>
      <c r="W22" s="148"/>
      <c r="Y22" s="147">
        <v>0</v>
      </c>
      <c r="AB22" s="165" t="str">
        <f>IF($Y22&lt;&gt;0,'Cost &amp; Benefit Inputs'!G19*$Y22,"")</f>
        <v/>
      </c>
      <c r="AC22" s="166" t="str">
        <f>IF($Y22&lt;&gt;0,'Cost &amp; Benefit Inputs'!I19*$Y22,"")</f>
        <v/>
      </c>
      <c r="AD22" s="166" t="str">
        <f>IF($Y22&lt;&gt;0,'Cost &amp; Benefit Inputs'!K19*$Y22,"")</f>
        <v/>
      </c>
      <c r="AE22" s="166" t="str">
        <f>IF($Y22&lt;&gt;0,'Cost &amp; Benefit Inputs'!L19*$Y22,"")</f>
        <v/>
      </c>
      <c r="AF22" s="166" t="str">
        <f>IF($Y22&lt;&gt;0,'Cost &amp; Benefit Inputs'!M19*$Y22,"")</f>
        <v/>
      </c>
      <c r="AG22" s="166" t="str">
        <f>IF($Y22&lt;&gt;0,'Cost &amp; Benefit Inputs'!N19*$Y22,"")</f>
        <v/>
      </c>
      <c r="AH22" s="166" t="str">
        <f>IF($Y22&lt;&gt;0,'Cost &amp; Benefit Inputs'!O19*$Y22,"")</f>
        <v/>
      </c>
      <c r="AI22" s="166" t="str">
        <f>IF($Y22&lt;&gt;0,'Cost &amp; Benefit Inputs'!P19*$Y22,"")</f>
        <v/>
      </c>
      <c r="AJ22" s="167" t="str">
        <f>IF($Y22&lt;&gt;0,'Cost &amp; Benefit Inputs'!Q19,"")</f>
        <v/>
      </c>
      <c r="AL22" s="166" t="str">
        <f>IF($Y22,'Cost &amp; Benefit Inputs'!U19,"")</f>
        <v/>
      </c>
      <c r="AM22" s="166" t="str">
        <f>IF($Y22,'Cost &amp; Benefit Inputs'!V19,"")</f>
        <v/>
      </c>
      <c r="AN22" s="166" t="str">
        <f>IF($Y22,'Cost &amp; Benefit Inputs'!W19,"")</f>
        <v/>
      </c>
      <c r="AO22" s="166" t="str">
        <f>IF($Y22,'Cost &amp; Benefit Inputs'!X19,"")</f>
        <v/>
      </c>
      <c r="AP22" s="166" t="str">
        <f>IF($Y22,'Cost &amp; Benefit Inputs'!Y19,"")</f>
        <v/>
      </c>
      <c r="AQ22" s="166" t="str">
        <f>IF($Y22,'Cost &amp; Benefit Inputs'!Z19,"")</f>
        <v/>
      </c>
      <c r="AR22" s="31"/>
      <c r="AS22" s="166" t="str">
        <f>IF($Y22&lt;&gt;0,'Cost &amp; Benefit Inputs'!AB19*$Y22,"")</f>
        <v/>
      </c>
      <c r="AT22" s="166" t="str">
        <f>IF($Y22&lt;&gt;0,'Cost &amp; Benefit Inputs'!AC19*$Y22,"")</f>
        <v/>
      </c>
      <c r="AU22" s="165"/>
      <c r="AV22" s="166" t="str">
        <f>IF($Y22&lt;&gt;0,'Cost &amp; Benefit Inputs'!AE19*$Y22,"")</f>
        <v/>
      </c>
      <c r="AW22" s="166" t="str">
        <f>IF($Y22&lt;&gt;0,'Cost &amp; Benefit Inputs'!AF19*$Y22,"")</f>
        <v/>
      </c>
      <c r="AX22" s="166" t="str">
        <f>IF($Y22&lt;&gt;0,'Cost &amp; Benefit Inputs'!AG19*$Y22,"")</f>
        <v/>
      </c>
      <c r="AY22" s="31"/>
      <c r="AZ22" s="166" t="str">
        <f>IF($Y22&lt;&gt;0,'Cost &amp; Benefit Inputs'!AI19*$Y22,"")</f>
        <v/>
      </c>
      <c r="BA22" s="166" t="str">
        <f>IF($Y22&lt;&gt;0,'Cost &amp; Benefit Inputs'!AJ19*$Y22,"")</f>
        <v/>
      </c>
      <c r="BB22" s="166" t="str">
        <f>IF($Y22&lt;&gt;0,'Cost &amp; Benefit Inputs'!AK19*$Y22,"")</f>
        <v/>
      </c>
      <c r="BC22" s="166" t="str">
        <f>IF($Y22&lt;&gt;0,'Cost &amp; Benefit Inputs'!AL19*$Y22,"")</f>
        <v/>
      </c>
      <c r="BD22" s="173" t="str">
        <f>IF($Y22&lt;&gt;0,'Cost &amp; Benefit Inputs'!AM19,"")</f>
        <v/>
      </c>
    </row>
    <row r="23" spans="1:56" x14ac:dyDescent="0.2">
      <c r="A23" s="128" t="s">
        <v>120</v>
      </c>
      <c r="B23" s="129">
        <f>VLOOKUP($A23,'Scoring Inputs'!$A:$AH,2,0)</f>
        <v>0</v>
      </c>
      <c r="C23" s="129">
        <f>VLOOKUP($A23,'Scoring Inputs'!$A:$AH,3,0)</f>
        <v>0</v>
      </c>
      <c r="E23" s="198" t="str">
        <f>IF(ISBLANK(VLOOKUP($A23,'Scoring Inputs'!$A:$AH,4,0)),"",VLOOKUP($A23,'Scoring Inputs'!$A:$AH,4,0))</f>
        <v/>
      </c>
      <c r="G23" s="14" t="str">
        <f>IF(VLOOKUP($A23,'Scoring Inputs'!$A:$AH,10,0)="","",G$9*VLOOKUP(VLOOKUP($A23,'Scoring Inputs'!$A:$AH,10,0),RANK_TABLE,3,0))</f>
        <v/>
      </c>
      <c r="H23" s="247" t="str">
        <f>IF(VLOOKUP($A23,'Scoring Inputs'!$A:$AH,12,0)="","",$H$9*VLOOKUP(VLOOKUP($A23,'Scoring Inputs'!$A:$AH,12,0),RANK_TABLE,3,0))</f>
        <v/>
      </c>
      <c r="J23" s="255" t="str">
        <f>IF(VLOOKUP($A23,'Scoring Inputs'!$A:$AH,14,0)="","",$J$9*VLOOKUP(VLOOKUP($A23,'Scoring Inputs'!$A:$AH,14,0),RANK_TABLE,3,0))</f>
        <v/>
      </c>
      <c r="K23" s="15" t="str">
        <f>IF(VLOOKUP($A23,'Scoring Inputs'!$A:$AH,18,0)="","",$K$9*VLOOKUP(VLOOKUP($A23,'Scoring Inputs'!$A:$AH,18,0),RANK_TABLE,3,0))</f>
        <v/>
      </c>
      <c r="L23" s="140" t="str">
        <f>IF(VLOOKUP($A23,'Scoring Inputs'!$A:$AI,35,0)="","",L$9)</f>
        <v/>
      </c>
      <c r="M23" s="140" t="str">
        <f>IF(VLOOKUP($A23,'Scoring Inputs'!$A:$AH,6,0)="","",ROUND(VLOOKUP($A23,'Scoring Inputs'!$A:$AH,6,0)*M$9,0))</f>
        <v/>
      </c>
      <c r="N23" s="252" t="str">
        <f>IF(VLOOKUP($A23,'Scoring Inputs'!$A:$AH,16,0)="","",$N$9*VLOOKUP(VLOOKUP($A23,'Scoring Inputs'!$A:$AH,16,0),RANK_TABLE,3,0))</f>
        <v/>
      </c>
      <c r="O23" s="15" t="str">
        <f>IF(VLOOKUP($A23,'Scoring Inputs'!$A:$AH,20,0)="","",$O$9*VLOOKUP(VLOOKUP($A23,'Scoring Inputs'!$A:$AH,20,0),RANK_TABLE,3,0))</f>
        <v/>
      </c>
      <c r="P23" s="140" t="str">
        <f>IF(VLOOKUP($A23,'Scoring Inputs'!$A:$AH,23,0)="","",$P$9*VLOOKUP(VLOOKUP($A23,'Scoring Inputs'!$A:$AH,23,0),RANK_TABLE,3,0))</f>
        <v/>
      </c>
      <c r="Q23" s="204"/>
      <c r="R23" s="209">
        <f>IF(VLOOKUP($A23,'Scoring Inputs'!$A:$BF,28,0)="","",$R$9*VLOOKUP($A23,'Scoring Inputs'!$A:$BF,28,0))</f>
        <v>0</v>
      </c>
      <c r="T23" s="148">
        <f t="shared" si="6"/>
        <v>0</v>
      </c>
      <c r="U23" s="185">
        <f t="shared" si="7"/>
        <v>0</v>
      </c>
      <c r="W23" s="148"/>
      <c r="Y23" s="147">
        <v>0</v>
      </c>
      <c r="AB23" s="165" t="str">
        <f>IF($Y23&lt;&gt;0,'Cost &amp; Benefit Inputs'!G20*$Y23,"")</f>
        <v/>
      </c>
      <c r="AC23" s="166" t="str">
        <f>IF($Y23&lt;&gt;0,'Cost &amp; Benefit Inputs'!I20*$Y23,"")</f>
        <v/>
      </c>
      <c r="AD23" s="166" t="str">
        <f>IF($Y23&lt;&gt;0,'Cost &amp; Benefit Inputs'!K20*$Y23,"")</f>
        <v/>
      </c>
      <c r="AE23" s="166" t="str">
        <f>IF($Y23&lt;&gt;0,'Cost &amp; Benefit Inputs'!L20*$Y23,"")</f>
        <v/>
      </c>
      <c r="AF23" s="166" t="str">
        <f>IF($Y23&lt;&gt;0,'Cost &amp; Benefit Inputs'!M20*$Y23,"")</f>
        <v/>
      </c>
      <c r="AG23" s="166" t="str">
        <f>IF($Y23&lt;&gt;0,'Cost &amp; Benefit Inputs'!N20*$Y23,"")</f>
        <v/>
      </c>
      <c r="AH23" s="166" t="str">
        <f>IF($Y23&lt;&gt;0,'Cost &amp; Benefit Inputs'!O20*$Y23,"")</f>
        <v/>
      </c>
      <c r="AI23" s="166" t="str">
        <f>IF($Y23&lt;&gt;0,'Cost &amp; Benefit Inputs'!P20*$Y23,"")</f>
        <v/>
      </c>
      <c r="AJ23" s="167" t="str">
        <f>IF($Y23&lt;&gt;0,'Cost &amp; Benefit Inputs'!Q20,"")</f>
        <v/>
      </c>
      <c r="AL23" s="166" t="str">
        <f>IF($Y23,'Cost &amp; Benefit Inputs'!U20,"")</f>
        <v/>
      </c>
      <c r="AM23" s="166" t="str">
        <f>IF($Y23,'Cost &amp; Benefit Inputs'!V20,"")</f>
        <v/>
      </c>
      <c r="AN23" s="166" t="str">
        <f>IF($Y23,'Cost &amp; Benefit Inputs'!W20,"")</f>
        <v/>
      </c>
      <c r="AO23" s="166" t="str">
        <f>IF($Y23,'Cost &amp; Benefit Inputs'!X20,"")</f>
        <v/>
      </c>
      <c r="AP23" s="166" t="str">
        <f>IF($Y23,'Cost &amp; Benefit Inputs'!Y20,"")</f>
        <v/>
      </c>
      <c r="AQ23" s="166" t="str">
        <f>IF($Y23,'Cost &amp; Benefit Inputs'!Z20,"")</f>
        <v/>
      </c>
      <c r="AR23" s="31"/>
      <c r="AS23" s="166" t="str">
        <f>IF($Y23&lt;&gt;0,'Cost &amp; Benefit Inputs'!AB20*$Y23,"")</f>
        <v/>
      </c>
      <c r="AT23" s="166" t="str">
        <f>IF($Y23&lt;&gt;0,'Cost &amp; Benefit Inputs'!AC20*$Y23,"")</f>
        <v/>
      </c>
      <c r="AU23" s="165"/>
      <c r="AV23" s="166" t="str">
        <f>IF($Y23&lt;&gt;0,'Cost &amp; Benefit Inputs'!AE20*$Y23,"")</f>
        <v/>
      </c>
      <c r="AW23" s="166" t="str">
        <f>IF($Y23&lt;&gt;0,'Cost &amp; Benefit Inputs'!AF20*$Y23,"")</f>
        <v/>
      </c>
      <c r="AX23" s="166" t="str">
        <f>IF($Y23&lt;&gt;0,'Cost &amp; Benefit Inputs'!AG20*$Y23,"")</f>
        <v/>
      </c>
      <c r="AY23" s="31"/>
      <c r="AZ23" s="166" t="str">
        <f>IF($Y23&lt;&gt;0,'Cost &amp; Benefit Inputs'!AI20*$Y23,"")</f>
        <v/>
      </c>
      <c r="BA23" s="166" t="str">
        <f>IF($Y23&lt;&gt;0,'Cost &amp; Benefit Inputs'!AJ20*$Y23,"")</f>
        <v/>
      </c>
      <c r="BB23" s="166" t="str">
        <f>IF($Y23&lt;&gt;0,'Cost &amp; Benefit Inputs'!AK20*$Y23,"")</f>
        <v/>
      </c>
      <c r="BC23" s="166" t="str">
        <f>IF($Y23&lt;&gt;0,'Cost &amp; Benefit Inputs'!AL20*$Y23,"")</f>
        <v/>
      </c>
      <c r="BD23" s="173" t="str">
        <f>IF($Y23&lt;&gt;0,'Cost &amp; Benefit Inputs'!AM20,"")</f>
        <v/>
      </c>
    </row>
    <row r="24" spans="1:56" x14ac:dyDescent="0.2">
      <c r="A24" s="128" t="s">
        <v>121</v>
      </c>
      <c r="B24" s="283" t="str">
        <f>VLOOKUP($A24,'Scoring Inputs'!$A:$AH,2,0)</f>
        <v>THERMAL PROGRAM</v>
      </c>
      <c r="C24" s="129">
        <f>VLOOKUP($A24,'Scoring Inputs'!$A:$AH,3,0)</f>
        <v>0</v>
      </c>
      <c r="E24" s="198" t="str">
        <f>IF(ISBLANK(VLOOKUP($A24,'Scoring Inputs'!$A:$AH,4,0)),"",VLOOKUP($A24,'Scoring Inputs'!$A:$AH,4,0))</f>
        <v/>
      </c>
      <c r="G24" s="14" t="str">
        <f>IF(VLOOKUP($A24,'Scoring Inputs'!$A:$AH,10,0)="","",G$9*VLOOKUP(VLOOKUP($A24,'Scoring Inputs'!$A:$AH,10,0),RANK_TABLE,3,0))</f>
        <v/>
      </c>
      <c r="H24" s="247" t="str">
        <f>IF(VLOOKUP($A24,'Scoring Inputs'!$A:$AH,12,0)="","",$H$9*VLOOKUP(VLOOKUP($A24,'Scoring Inputs'!$A:$AH,12,0),RANK_TABLE,3,0))</f>
        <v/>
      </c>
      <c r="J24" s="255" t="str">
        <f>IF(VLOOKUP($A24,'Scoring Inputs'!$A:$AH,14,0)="","",$J$9*VLOOKUP(VLOOKUP($A24,'Scoring Inputs'!$A:$AH,14,0),RANK_TABLE,3,0))</f>
        <v/>
      </c>
      <c r="K24" s="15" t="str">
        <f>IF(VLOOKUP($A24,'Scoring Inputs'!$A:$AH,18,0)="","",$K$9*VLOOKUP(VLOOKUP($A24,'Scoring Inputs'!$A:$AH,18,0),RANK_TABLE,3,0))</f>
        <v/>
      </c>
      <c r="L24" s="140" t="str">
        <f>IF(VLOOKUP($A24,'Scoring Inputs'!$A:$AI,35,0)="","",L$9)</f>
        <v/>
      </c>
      <c r="M24" s="140" t="str">
        <f>IF(VLOOKUP($A24,'Scoring Inputs'!$A:$AH,6,0)="","",ROUND(VLOOKUP($A24,'Scoring Inputs'!$A:$AH,6,0)*M$9,0))</f>
        <v/>
      </c>
      <c r="N24" s="252" t="str">
        <f>IF(VLOOKUP($A24,'Scoring Inputs'!$A:$AH,16,0)="","",$N$9*VLOOKUP(VLOOKUP($A24,'Scoring Inputs'!$A:$AH,16,0),RANK_TABLE,3,0))</f>
        <v/>
      </c>
      <c r="O24" s="15" t="str">
        <f>IF(VLOOKUP($A24,'Scoring Inputs'!$A:$AH,20,0)="","",$O$9*VLOOKUP(VLOOKUP($A24,'Scoring Inputs'!$A:$AH,20,0),RANK_TABLE,3,0))</f>
        <v/>
      </c>
      <c r="P24" s="140" t="str">
        <f>IF(VLOOKUP($A24,'Scoring Inputs'!$A:$AH,23,0)="","",$P$9*VLOOKUP(VLOOKUP($A24,'Scoring Inputs'!$A:$AH,23,0),RANK_TABLE,3,0))</f>
        <v/>
      </c>
      <c r="Q24" s="204"/>
      <c r="R24" s="209">
        <f>IF(VLOOKUP($A24,'Scoring Inputs'!$A:$BF,28,0)="","",$R$9*VLOOKUP($A24,'Scoring Inputs'!$A:$BF,28,0))</f>
        <v>0</v>
      </c>
      <c r="T24" s="148">
        <f t="shared" si="6"/>
        <v>0</v>
      </c>
      <c r="U24" s="185">
        <f t="shared" si="7"/>
        <v>0</v>
      </c>
      <c r="W24" s="148"/>
      <c r="Y24" s="147">
        <v>0</v>
      </c>
      <c r="AB24" s="165" t="str">
        <f>IF($Y24&lt;&gt;0,'Cost &amp; Benefit Inputs'!G21*$Y24,"")</f>
        <v/>
      </c>
      <c r="AC24" s="166" t="str">
        <f>IF($Y24&lt;&gt;0,'Cost &amp; Benefit Inputs'!I21*$Y24,"")</f>
        <v/>
      </c>
      <c r="AD24" s="166" t="str">
        <f>IF($Y24&lt;&gt;0,'Cost &amp; Benefit Inputs'!K21*$Y24,"")</f>
        <v/>
      </c>
      <c r="AE24" s="166" t="str">
        <f>IF($Y24&lt;&gt;0,'Cost &amp; Benefit Inputs'!L21*$Y24,"")</f>
        <v/>
      </c>
      <c r="AF24" s="166" t="str">
        <f>IF($Y24&lt;&gt;0,'Cost &amp; Benefit Inputs'!M21*$Y24,"")</f>
        <v/>
      </c>
      <c r="AG24" s="166" t="str">
        <f>IF($Y24&lt;&gt;0,'Cost &amp; Benefit Inputs'!N21*$Y24,"")</f>
        <v/>
      </c>
      <c r="AH24" s="166" t="str">
        <f>IF($Y24&lt;&gt;0,'Cost &amp; Benefit Inputs'!O21*$Y24,"")</f>
        <v/>
      </c>
      <c r="AI24" s="166" t="str">
        <f>IF($Y24&lt;&gt;0,'Cost &amp; Benefit Inputs'!P21*$Y24,"")</f>
        <v/>
      </c>
      <c r="AJ24" s="167" t="str">
        <f>IF($Y24&lt;&gt;0,'Cost &amp; Benefit Inputs'!Q21,"")</f>
        <v/>
      </c>
      <c r="AL24" s="166" t="str">
        <f>IF($Y24,'Cost &amp; Benefit Inputs'!U21,"")</f>
        <v/>
      </c>
      <c r="AM24" s="166" t="str">
        <f>IF($Y24,'Cost &amp; Benefit Inputs'!V21,"")</f>
        <v/>
      </c>
      <c r="AN24" s="166" t="str">
        <f>IF($Y24,'Cost &amp; Benefit Inputs'!W21,"")</f>
        <v/>
      </c>
      <c r="AO24" s="166" t="str">
        <f>IF($Y24,'Cost &amp; Benefit Inputs'!X21,"")</f>
        <v/>
      </c>
      <c r="AP24" s="166" t="str">
        <f>IF($Y24,'Cost &amp; Benefit Inputs'!Y21,"")</f>
        <v/>
      </c>
      <c r="AQ24" s="166" t="str">
        <f>IF($Y24,'Cost &amp; Benefit Inputs'!Z21,"")</f>
        <v/>
      </c>
      <c r="AR24" s="31"/>
      <c r="AS24" s="166" t="str">
        <f>IF($Y24&lt;&gt;0,'Cost &amp; Benefit Inputs'!AB21*$Y24,"")</f>
        <v/>
      </c>
      <c r="AT24" s="166" t="str">
        <f>IF($Y24&lt;&gt;0,'Cost &amp; Benefit Inputs'!AC21*$Y24,"")</f>
        <v/>
      </c>
      <c r="AU24" s="165"/>
      <c r="AV24" s="166" t="str">
        <f>IF($Y24&lt;&gt;0,'Cost &amp; Benefit Inputs'!AE21*$Y24,"")</f>
        <v/>
      </c>
      <c r="AW24" s="166" t="str">
        <f>IF($Y24&lt;&gt;0,'Cost &amp; Benefit Inputs'!AF21*$Y24,"")</f>
        <v/>
      </c>
      <c r="AX24" s="166" t="str">
        <f>IF($Y24&lt;&gt;0,'Cost &amp; Benefit Inputs'!AG21*$Y24,"")</f>
        <v/>
      </c>
      <c r="AY24" s="31"/>
      <c r="AZ24" s="166" t="str">
        <f>IF($Y24&lt;&gt;0,'Cost &amp; Benefit Inputs'!AI21*$Y24,"")</f>
        <v/>
      </c>
      <c r="BA24" s="166" t="str">
        <f>IF($Y24&lt;&gt;0,'Cost &amp; Benefit Inputs'!AJ21*$Y24,"")</f>
        <v/>
      </c>
      <c r="BB24" s="166" t="str">
        <f>IF($Y24&lt;&gt;0,'Cost &amp; Benefit Inputs'!AK21*$Y24,"")</f>
        <v/>
      </c>
      <c r="BC24" s="166" t="str">
        <f>IF($Y24&lt;&gt;0,'Cost &amp; Benefit Inputs'!AL21*$Y24,"")</f>
        <v/>
      </c>
      <c r="BD24" s="173" t="str">
        <f>IF($Y24&lt;&gt;0,'Cost &amp; Benefit Inputs'!AM21,"")</f>
        <v/>
      </c>
    </row>
    <row r="25" spans="1:56" x14ac:dyDescent="0.2">
      <c r="A25" s="128" t="s">
        <v>122</v>
      </c>
      <c r="B25" s="129" t="str">
        <f>VLOOKUP($A25,'Scoring Inputs'!$A:$AH,2,0)</f>
        <v>Enhanced Maple Sap Preheater Program</v>
      </c>
      <c r="C25" s="129" t="str">
        <f>VLOOKUP($A25,'Scoring Inputs'!$A:$AH,3,0)</f>
        <v>EnSave</v>
      </c>
      <c r="E25" s="198" t="str">
        <f>IF(ISBLANK(VLOOKUP($A25,'Scoring Inputs'!$A:$AH,4,0)),"",VLOOKUP($A25,'Scoring Inputs'!$A:$AH,4,0))</f>
        <v>Yes</v>
      </c>
      <c r="G25" s="14">
        <f>IF(VLOOKUP($A25,'Scoring Inputs'!$A:$AH,10,0)="","",G$9*VLOOKUP(VLOOKUP($A25,'Scoring Inputs'!$A:$AH,10,0),RANK_TABLE,3,0))</f>
        <v>30</v>
      </c>
      <c r="H25" s="247">
        <f>IF(VLOOKUP($A25,'Scoring Inputs'!$A:$AH,12,0)="","",$H$9*VLOOKUP(VLOOKUP($A25,'Scoring Inputs'!$A:$AH,12,0),RANK_TABLE,3,0))</f>
        <v>30</v>
      </c>
      <c r="J25" s="255">
        <f>IF(VLOOKUP($A25,'Scoring Inputs'!$A:$AH,14,0)="","",$J$9*VLOOKUP(VLOOKUP($A25,'Scoring Inputs'!$A:$AH,14,0),RANK_TABLE,3,0))</f>
        <v>3.333333333333333</v>
      </c>
      <c r="K25" s="15">
        <f>IF(VLOOKUP($A25,'Scoring Inputs'!$A:$AH,18,0)="","",$K$9*VLOOKUP(VLOOKUP($A25,'Scoring Inputs'!$A:$AH,18,0),RANK_TABLE,3,0))</f>
        <v>3.333333333333333</v>
      </c>
      <c r="L25" s="140">
        <f>IF(VLOOKUP($A25,'Scoring Inputs'!$A:$AI,35,0)="","",L$9)</f>
        <v>10</v>
      </c>
      <c r="M25" s="140">
        <f>IF(VLOOKUP($A25,'Scoring Inputs'!$A:$AH,6,0)="","",ROUND(VLOOKUP($A25,'Scoring Inputs'!$A:$AH,6,0)*M$9,0))</f>
        <v>5</v>
      </c>
      <c r="N25" s="252">
        <f>IF(VLOOKUP($A25,'Scoring Inputs'!$A:$AH,16,0)="","",$N$9*VLOOKUP(VLOOKUP($A25,'Scoring Inputs'!$A:$AH,16,0),RANK_TABLE,3,0))</f>
        <v>0</v>
      </c>
      <c r="O25" s="15">
        <f>IF(VLOOKUP($A25,'Scoring Inputs'!$A:$AH,20,0)="","",$O$9*VLOOKUP(VLOOKUP($A25,'Scoring Inputs'!$A:$AH,20,0),RANK_TABLE,3,0))</f>
        <v>0</v>
      </c>
      <c r="P25" s="140">
        <f>IF(VLOOKUP($A25,'Scoring Inputs'!$A:$AH,23,0)="","",$P$9*VLOOKUP(VLOOKUP($A25,'Scoring Inputs'!$A:$AH,23,0),RANK_TABLE,3,0))</f>
        <v>0</v>
      </c>
      <c r="Q25" s="204"/>
      <c r="R25" s="209">
        <f>IF(VLOOKUP($A25,'Scoring Inputs'!$A:$BF,28,0)="","",$R$9*VLOOKUP($A25,'Scoring Inputs'!$A:$BF,28,0))</f>
        <v>4</v>
      </c>
      <c r="T25" s="148">
        <f t="shared" si="6"/>
        <v>85.666666666666671</v>
      </c>
      <c r="U25" s="185">
        <f t="shared" si="7"/>
        <v>0.85666666666666669</v>
      </c>
      <c r="W25" s="148">
        <f t="shared" si="5"/>
        <v>1</v>
      </c>
      <c r="Y25" s="147">
        <v>1</v>
      </c>
      <c r="AB25" s="165">
        <f>IF($Y25&lt;&gt;0,'Cost &amp; Benefit Inputs'!G22*$Y25,"")</f>
        <v>33</v>
      </c>
      <c r="AC25" s="166">
        <f>IF($Y25&lt;&gt;0,'Cost &amp; Benefit Inputs'!I22*$Y25,"")</f>
        <v>202660</v>
      </c>
      <c r="AD25" s="166">
        <f>IF($Y25&lt;&gt;0,'Cost &amp; Benefit Inputs'!K22*$Y25,"")</f>
        <v>182394</v>
      </c>
      <c r="AE25" s="166">
        <f>IF($Y25&lt;&gt;0,'Cost &amp; Benefit Inputs'!L22*$Y25,"")</f>
        <v>273330</v>
      </c>
      <c r="AF25" s="166">
        <f>IF($Y25&lt;&gt;0,'Cost &amp; Benefit Inputs'!M22*$Y25,"")</f>
        <v>455724</v>
      </c>
      <c r="AG25" s="166">
        <f>IF($Y25&lt;&gt;0,'Cost &amp; Benefit Inputs'!N22*$Y25,"")</f>
        <v>1941469.354982157</v>
      </c>
      <c r="AH25" s="166">
        <f>IF($Y25&lt;&gt;0,'Cost &amp; Benefit Inputs'!O22*$Y25,"")</f>
        <v>1485745.354982157</v>
      </c>
      <c r="AI25" s="166">
        <f>IF($Y25&lt;&gt;0,'Cost &amp; Benefit Inputs'!P22*$Y25,"")</f>
        <v>420160</v>
      </c>
      <c r="AJ25" s="167">
        <f>IF($Y25&lt;&gt;0,'Cost &amp; Benefit Inputs'!Q22,"")</f>
        <v>3.5361418387808383</v>
      </c>
      <c r="AL25" s="166">
        <f>IF($Y25,'Cost &amp; Benefit Inputs'!U22,"")</f>
        <v>0</v>
      </c>
      <c r="AM25" s="166">
        <f>IF($Y25,'Cost &amp; Benefit Inputs'!V22,"")</f>
        <v>0</v>
      </c>
      <c r="AN25" s="166">
        <f>IF($Y25,'Cost &amp; Benefit Inputs'!W22,"")</f>
        <v>0</v>
      </c>
      <c r="AO25" s="166">
        <f>IF($Y25,'Cost &amp; Benefit Inputs'!X22,"")</f>
        <v>0</v>
      </c>
      <c r="AP25" s="166">
        <f>IF($Y25,'Cost &amp; Benefit Inputs'!Y22,"")</f>
        <v>420160</v>
      </c>
      <c r="AQ25" s="166">
        <f>IF($Y25,'Cost &amp; Benefit Inputs'!Z22,"")</f>
        <v>420160</v>
      </c>
      <c r="AR25" s="31"/>
      <c r="AS25" s="166">
        <f>IF($Y25&lt;&gt;0,'Cost &amp; Benefit Inputs'!AB22*$Y25,"")</f>
        <v>420160</v>
      </c>
      <c r="AT25" s="166">
        <f>IF($Y25&lt;&gt;0,'Cost &amp; Benefit Inputs'!AC22*$Y25,"")</f>
        <v>0</v>
      </c>
      <c r="AU25" s="165"/>
      <c r="AV25" s="166">
        <f>IF($Y25&lt;&gt;0,'Cost &amp; Benefit Inputs'!AE22*$Y25,"")</f>
        <v>0</v>
      </c>
      <c r="AW25" s="166">
        <f>IF($Y25&lt;&gt;0,'Cost &amp; Benefit Inputs'!AF22*$Y25,"")</f>
        <v>420160</v>
      </c>
      <c r="AX25" s="166">
        <f>IF($Y25&lt;&gt;0,'Cost &amp; Benefit Inputs'!AG22*$Y25,"")</f>
        <v>0</v>
      </c>
      <c r="AY25" s="31"/>
      <c r="AZ25" s="166">
        <f>IF($Y25&lt;&gt;0,'Cost &amp; Benefit Inputs'!AI22*$Y25,"")</f>
        <v>86200</v>
      </c>
      <c r="BA25" s="166">
        <f>IF($Y25&lt;&gt;0,'Cost &amp; Benefit Inputs'!AJ22*$Y25,"")</f>
        <v>0</v>
      </c>
      <c r="BB25" s="166">
        <f>IF($Y25&lt;&gt;0,'Cost &amp; Benefit Inputs'!AK22*$Y25,"")</f>
        <v>420160</v>
      </c>
      <c r="BC25" s="166">
        <f>IF($Y25&lt;&gt;0,'Cost &amp; Benefit Inputs'!AL22*$Y25,"")</f>
        <v>506360</v>
      </c>
      <c r="BD25" s="173">
        <f>IF($Y25&lt;&gt;0,'Cost &amp; Benefit Inputs'!AM22,"")</f>
        <v>0.20515993907083016</v>
      </c>
    </row>
    <row r="26" spans="1:56" x14ac:dyDescent="0.2">
      <c r="A26" s="128" t="s">
        <v>123</v>
      </c>
      <c r="B26" s="129">
        <f>VLOOKUP($A26,'Scoring Inputs'!$A:$AH,2,0)</f>
        <v>0</v>
      </c>
      <c r="C26" s="129">
        <f>VLOOKUP($A26,'Scoring Inputs'!$A:$AH,3,0)</f>
        <v>0</v>
      </c>
      <c r="E26" s="198" t="str">
        <f>IF(ISBLANK(VLOOKUP($A26,'Scoring Inputs'!$A:$AH,4,0)),"",VLOOKUP($A26,'Scoring Inputs'!$A:$AH,4,0))</f>
        <v/>
      </c>
      <c r="G26" s="14" t="str">
        <f>IF(VLOOKUP($A26,'Scoring Inputs'!$A:$AH,10,0)="","",G$9*VLOOKUP(VLOOKUP($A26,'Scoring Inputs'!$A:$AH,10,0),RANK_TABLE,3,0))</f>
        <v/>
      </c>
      <c r="H26" s="247" t="str">
        <f>IF(VLOOKUP($A26,'Scoring Inputs'!$A:$AH,12,0)="","",$H$9*VLOOKUP(VLOOKUP($A26,'Scoring Inputs'!$A:$AH,12,0),RANK_TABLE,3,0))</f>
        <v/>
      </c>
      <c r="J26" s="255" t="str">
        <f>IF(VLOOKUP($A26,'Scoring Inputs'!$A:$AH,14,0)="","",$J$9*VLOOKUP(VLOOKUP($A26,'Scoring Inputs'!$A:$AH,14,0),RANK_TABLE,3,0))</f>
        <v/>
      </c>
      <c r="K26" s="15" t="str">
        <f>IF(VLOOKUP($A26,'Scoring Inputs'!$A:$AH,18,0)="","",$K$9*VLOOKUP(VLOOKUP($A26,'Scoring Inputs'!$A:$AH,18,0),RANK_TABLE,3,0))</f>
        <v/>
      </c>
      <c r="L26" s="140" t="str">
        <f>IF(VLOOKUP($A26,'Scoring Inputs'!$A:$AI,35,0)="","",L$9)</f>
        <v/>
      </c>
      <c r="M26" s="140" t="str">
        <f>IF(VLOOKUP($A26,'Scoring Inputs'!$A:$AH,6,0)="","",ROUND(VLOOKUP($A26,'Scoring Inputs'!$A:$AH,6,0)*M$9,0))</f>
        <v/>
      </c>
      <c r="N26" s="252" t="str">
        <f>IF(VLOOKUP($A26,'Scoring Inputs'!$A:$AH,16,0)="","",$N$9*VLOOKUP(VLOOKUP($A26,'Scoring Inputs'!$A:$AH,16,0),RANK_TABLE,3,0))</f>
        <v/>
      </c>
      <c r="O26" s="15" t="str">
        <f>IF(VLOOKUP($A26,'Scoring Inputs'!$A:$AH,20,0)="","",$O$9*VLOOKUP(VLOOKUP($A26,'Scoring Inputs'!$A:$AH,20,0),RANK_TABLE,3,0))</f>
        <v/>
      </c>
      <c r="P26" s="140" t="str">
        <f>IF(VLOOKUP($A26,'Scoring Inputs'!$A:$AH,23,0)="","",$P$9*VLOOKUP(VLOOKUP($A26,'Scoring Inputs'!$A:$AH,23,0),RANK_TABLE,3,0))</f>
        <v/>
      </c>
      <c r="Q26" s="204"/>
      <c r="R26" s="209">
        <f>IF(VLOOKUP($A26,'Scoring Inputs'!$A:$BF,28,0)="","",$R$9*VLOOKUP($A26,'Scoring Inputs'!$A:$BF,28,0))</f>
        <v>0</v>
      </c>
      <c r="T26" s="148">
        <f t="shared" si="6"/>
        <v>0</v>
      </c>
      <c r="U26" s="185">
        <f t="shared" si="7"/>
        <v>0</v>
      </c>
      <c r="W26" s="148"/>
      <c r="Y26" s="147">
        <v>0</v>
      </c>
      <c r="AB26" s="165" t="str">
        <f>IF($Y26&lt;&gt;0,'Cost &amp; Benefit Inputs'!G23*$Y26,"")</f>
        <v/>
      </c>
      <c r="AC26" s="166" t="str">
        <f>IF($Y26&lt;&gt;0,'Cost &amp; Benefit Inputs'!I23*$Y26,"")</f>
        <v/>
      </c>
      <c r="AD26" s="166" t="str">
        <f>IF($Y26&lt;&gt;0,'Cost &amp; Benefit Inputs'!K23*$Y26,"")</f>
        <v/>
      </c>
      <c r="AE26" s="166" t="str">
        <f>IF($Y26&lt;&gt;0,'Cost &amp; Benefit Inputs'!L23*$Y26,"")</f>
        <v/>
      </c>
      <c r="AF26" s="166" t="str">
        <f>IF($Y26&lt;&gt;0,'Cost &amp; Benefit Inputs'!M23*$Y26,"")</f>
        <v/>
      </c>
      <c r="AG26" s="166" t="str">
        <f>IF($Y26&lt;&gt;0,'Cost &amp; Benefit Inputs'!N23*$Y26,"")</f>
        <v/>
      </c>
      <c r="AH26" s="166" t="str">
        <f>IF($Y26&lt;&gt;0,'Cost &amp; Benefit Inputs'!O23*$Y26,"")</f>
        <v/>
      </c>
      <c r="AI26" s="166" t="str">
        <f>IF($Y26&lt;&gt;0,'Cost &amp; Benefit Inputs'!P23*$Y26,"")</f>
        <v/>
      </c>
      <c r="AJ26" s="167" t="str">
        <f>IF($Y26&lt;&gt;0,'Cost &amp; Benefit Inputs'!Q23,"")</f>
        <v/>
      </c>
      <c r="AL26" s="166" t="str">
        <f>IF($Y26,'Cost &amp; Benefit Inputs'!U23,"")</f>
        <v/>
      </c>
      <c r="AM26" s="166" t="str">
        <f>IF($Y26,'Cost &amp; Benefit Inputs'!V23,"")</f>
        <v/>
      </c>
      <c r="AN26" s="166" t="str">
        <f>IF($Y26,'Cost &amp; Benefit Inputs'!W23,"")</f>
        <v/>
      </c>
      <c r="AO26" s="166" t="str">
        <f>IF($Y26,'Cost &amp; Benefit Inputs'!X23,"")</f>
        <v/>
      </c>
      <c r="AP26" s="166" t="str">
        <f>IF($Y26,'Cost &amp; Benefit Inputs'!Y23,"")</f>
        <v/>
      </c>
      <c r="AQ26" s="166" t="str">
        <f>IF($Y26,'Cost &amp; Benefit Inputs'!Z23,"")</f>
        <v/>
      </c>
      <c r="AR26" s="31"/>
      <c r="AS26" s="166" t="str">
        <f>IF($Y26&lt;&gt;0,'Cost &amp; Benefit Inputs'!AB23*$Y26,"")</f>
        <v/>
      </c>
      <c r="AT26" s="166" t="str">
        <f>IF($Y26&lt;&gt;0,'Cost &amp; Benefit Inputs'!AC23*$Y26,"")</f>
        <v/>
      </c>
      <c r="AU26" s="165"/>
      <c r="AV26" s="166" t="str">
        <f>IF($Y26&lt;&gt;0,'Cost &amp; Benefit Inputs'!AE23*$Y26,"")</f>
        <v/>
      </c>
      <c r="AW26" s="166" t="str">
        <f>IF($Y26&lt;&gt;0,'Cost &amp; Benefit Inputs'!AF23*$Y26,"")</f>
        <v/>
      </c>
      <c r="AX26" s="166" t="str">
        <f>IF($Y26&lt;&gt;0,'Cost &amp; Benefit Inputs'!AG23*$Y26,"")</f>
        <v/>
      </c>
      <c r="AY26" s="31"/>
      <c r="AZ26" s="166" t="str">
        <f>IF($Y26&lt;&gt;0,'Cost &amp; Benefit Inputs'!AI23*$Y26,"")</f>
        <v/>
      </c>
      <c r="BA26" s="166" t="str">
        <f>IF($Y26&lt;&gt;0,'Cost &amp; Benefit Inputs'!AJ23*$Y26,"")</f>
        <v/>
      </c>
      <c r="BB26" s="166" t="str">
        <f>IF($Y26&lt;&gt;0,'Cost &amp; Benefit Inputs'!AK23*$Y26,"")</f>
        <v/>
      </c>
      <c r="BC26" s="166" t="str">
        <f>IF($Y26&lt;&gt;0,'Cost &amp; Benefit Inputs'!AL23*$Y26,"")</f>
        <v/>
      </c>
      <c r="BD26" s="173" t="str">
        <f>IF($Y26&lt;&gt;0,'Cost &amp; Benefit Inputs'!AM23,"")</f>
        <v/>
      </c>
    </row>
    <row r="27" spans="1:56" x14ac:dyDescent="0.2">
      <c r="A27" s="128" t="s">
        <v>124</v>
      </c>
      <c r="B27" s="129">
        <f>VLOOKUP($A27,'Scoring Inputs'!$A:$AH,2,0)</f>
        <v>0</v>
      </c>
      <c r="C27" s="129">
        <f>VLOOKUP($A27,'Scoring Inputs'!$A:$AH,3,0)</f>
        <v>0</v>
      </c>
      <c r="E27" s="198" t="str">
        <f>IF(ISBLANK(VLOOKUP($A27,'Scoring Inputs'!$A:$AH,4,0)),"",VLOOKUP($A27,'Scoring Inputs'!$A:$AH,4,0))</f>
        <v/>
      </c>
      <c r="G27" s="14" t="str">
        <f>IF(VLOOKUP($A27,'Scoring Inputs'!$A:$AH,10,0)="","",G$9*VLOOKUP(VLOOKUP($A27,'Scoring Inputs'!$A:$AH,10,0),RANK_TABLE,3,0))</f>
        <v/>
      </c>
      <c r="H27" s="247" t="str">
        <f>IF(VLOOKUP($A27,'Scoring Inputs'!$A:$AH,12,0)="","",$H$9*VLOOKUP(VLOOKUP($A27,'Scoring Inputs'!$A:$AH,12,0),RANK_TABLE,3,0))</f>
        <v/>
      </c>
      <c r="J27" s="255" t="str">
        <f>IF(VLOOKUP($A27,'Scoring Inputs'!$A:$AH,14,0)="","",$J$9*VLOOKUP(VLOOKUP($A27,'Scoring Inputs'!$A:$AH,14,0),RANK_TABLE,3,0))</f>
        <v/>
      </c>
      <c r="K27" s="15" t="str">
        <f>IF(VLOOKUP($A27,'Scoring Inputs'!$A:$AH,18,0)="","",$K$9*VLOOKUP(VLOOKUP($A27,'Scoring Inputs'!$A:$AH,18,0),RANK_TABLE,3,0))</f>
        <v/>
      </c>
      <c r="L27" s="140" t="str">
        <f>IF(VLOOKUP($A27,'Scoring Inputs'!$A:$AI,35,0)="","",L$9)</f>
        <v/>
      </c>
      <c r="M27" s="140" t="str">
        <f>IF(VLOOKUP($A27,'Scoring Inputs'!$A:$AH,6,0)="","",ROUND(VLOOKUP($A27,'Scoring Inputs'!$A:$AH,6,0)*M$9,0))</f>
        <v/>
      </c>
      <c r="N27" s="252" t="str">
        <f>IF(VLOOKUP($A27,'Scoring Inputs'!$A:$AH,16,0)="","",$N$9*VLOOKUP(VLOOKUP($A27,'Scoring Inputs'!$A:$AH,16,0),RANK_TABLE,3,0))</f>
        <v/>
      </c>
      <c r="O27" s="15" t="str">
        <f>IF(VLOOKUP($A27,'Scoring Inputs'!$A:$AH,20,0)="","",$O$9*VLOOKUP(VLOOKUP($A27,'Scoring Inputs'!$A:$AH,20,0),RANK_TABLE,3,0))</f>
        <v/>
      </c>
      <c r="P27" s="140" t="str">
        <f>IF(VLOOKUP($A27,'Scoring Inputs'!$A:$AH,23,0)="","",$P$9*VLOOKUP(VLOOKUP($A27,'Scoring Inputs'!$A:$AH,23,0),RANK_TABLE,3,0))</f>
        <v/>
      </c>
      <c r="Q27" s="204"/>
      <c r="R27" s="209">
        <f>IF(VLOOKUP($A27,'Scoring Inputs'!$A:$BF,28,0)="","",$R$9*VLOOKUP($A27,'Scoring Inputs'!$A:$BF,28,0))</f>
        <v>0</v>
      </c>
      <c r="T27" s="148">
        <f t="shared" si="6"/>
        <v>0</v>
      </c>
      <c r="U27" s="185">
        <f t="shared" si="7"/>
        <v>0</v>
      </c>
      <c r="W27" s="148"/>
      <c r="Y27" s="147">
        <v>0</v>
      </c>
      <c r="AB27" s="165" t="str">
        <f>IF($Y27&lt;&gt;0,'Cost &amp; Benefit Inputs'!G24*$Y27,"")</f>
        <v/>
      </c>
      <c r="AC27" s="166" t="str">
        <f>IF($Y27&lt;&gt;0,'Cost &amp; Benefit Inputs'!I24*$Y27,"")</f>
        <v/>
      </c>
      <c r="AD27" s="166" t="str">
        <f>IF($Y27&lt;&gt;0,'Cost &amp; Benefit Inputs'!K24*$Y27,"")</f>
        <v/>
      </c>
      <c r="AE27" s="166" t="str">
        <f>IF($Y27&lt;&gt;0,'Cost &amp; Benefit Inputs'!L24*$Y27,"")</f>
        <v/>
      </c>
      <c r="AF27" s="166" t="str">
        <f>IF($Y27&lt;&gt;0,'Cost &amp; Benefit Inputs'!M24*$Y27,"")</f>
        <v/>
      </c>
      <c r="AG27" s="166" t="str">
        <f>IF($Y27&lt;&gt;0,'Cost &amp; Benefit Inputs'!N24*$Y27,"")</f>
        <v/>
      </c>
      <c r="AH27" s="166" t="str">
        <f>IF($Y27&lt;&gt;0,'Cost &amp; Benefit Inputs'!O24*$Y27,"")</f>
        <v/>
      </c>
      <c r="AI27" s="166" t="str">
        <f>IF($Y27&lt;&gt;0,'Cost &amp; Benefit Inputs'!P24*$Y27,"")</f>
        <v/>
      </c>
      <c r="AJ27" s="167" t="str">
        <f>IF($Y27&lt;&gt;0,'Cost &amp; Benefit Inputs'!Q24,"")</f>
        <v/>
      </c>
      <c r="AL27" s="166" t="str">
        <f>IF($Y27,'Cost &amp; Benefit Inputs'!U24,"")</f>
        <v/>
      </c>
      <c r="AM27" s="166" t="str">
        <f>IF($Y27,'Cost &amp; Benefit Inputs'!V24,"")</f>
        <v/>
      </c>
      <c r="AN27" s="166" t="str">
        <f>IF($Y27,'Cost &amp; Benefit Inputs'!W24,"")</f>
        <v/>
      </c>
      <c r="AO27" s="166" t="str">
        <f>IF($Y27,'Cost &amp; Benefit Inputs'!X24,"")</f>
        <v/>
      </c>
      <c r="AP27" s="166" t="str">
        <f>IF($Y27,'Cost &amp; Benefit Inputs'!Y24,"")</f>
        <v/>
      </c>
      <c r="AQ27" s="166" t="str">
        <f>IF($Y27,'Cost &amp; Benefit Inputs'!Z24,"")</f>
        <v/>
      </c>
      <c r="AR27" s="31"/>
      <c r="AS27" s="166" t="str">
        <f>IF($Y27&lt;&gt;0,'Cost &amp; Benefit Inputs'!AB24*$Y27,"")</f>
        <v/>
      </c>
      <c r="AT27" s="166" t="str">
        <f>IF($Y27&lt;&gt;0,'Cost &amp; Benefit Inputs'!AC24*$Y27,"")</f>
        <v/>
      </c>
      <c r="AU27" s="165"/>
      <c r="AV27" s="166" t="str">
        <f>IF($Y27&lt;&gt;0,'Cost &amp; Benefit Inputs'!AE24*$Y27,"")</f>
        <v/>
      </c>
      <c r="AW27" s="166" t="str">
        <f>IF($Y27&lt;&gt;0,'Cost &amp; Benefit Inputs'!AF24*$Y27,"")</f>
        <v/>
      </c>
      <c r="AX27" s="166" t="str">
        <f>IF($Y27&lt;&gt;0,'Cost &amp; Benefit Inputs'!AG24*$Y27,"")</f>
        <v/>
      </c>
      <c r="AY27" s="31"/>
      <c r="AZ27" s="166" t="str">
        <f>IF($Y27&lt;&gt;0,'Cost &amp; Benefit Inputs'!AI24*$Y27,"")</f>
        <v/>
      </c>
      <c r="BA27" s="166" t="str">
        <f>IF($Y27&lt;&gt;0,'Cost &amp; Benefit Inputs'!AJ24*$Y27,"")</f>
        <v/>
      </c>
      <c r="BB27" s="166" t="str">
        <f>IF($Y27&lt;&gt;0,'Cost &amp; Benefit Inputs'!AK24*$Y27,"")</f>
        <v/>
      </c>
      <c r="BC27" s="166" t="str">
        <f>IF($Y27&lt;&gt;0,'Cost &amp; Benefit Inputs'!AL24*$Y27,"")</f>
        <v/>
      </c>
      <c r="BD27" s="173" t="str">
        <f>IF($Y27&lt;&gt;0,'Cost &amp; Benefit Inputs'!AM24,"")</f>
        <v/>
      </c>
    </row>
    <row r="28" spans="1:56" x14ac:dyDescent="0.2">
      <c r="A28" s="128" t="s">
        <v>125</v>
      </c>
      <c r="B28" s="129">
        <f>VLOOKUP($A28,'Scoring Inputs'!$A:$AH,2,0)</f>
        <v>0</v>
      </c>
      <c r="C28" s="129">
        <f>VLOOKUP($A28,'Scoring Inputs'!$A:$AH,3,0)</f>
        <v>0</v>
      </c>
      <c r="E28" s="198" t="str">
        <f>IF(ISBLANK(VLOOKUP($A28,'Scoring Inputs'!$A:$AH,4,0)),"",VLOOKUP($A28,'Scoring Inputs'!$A:$AH,4,0))</f>
        <v/>
      </c>
      <c r="G28" s="14" t="str">
        <f>IF(VLOOKUP($A28,'Scoring Inputs'!$A:$AH,10,0)="","",G$9*VLOOKUP(VLOOKUP($A28,'Scoring Inputs'!$A:$AH,10,0),RANK_TABLE,3,0))</f>
        <v/>
      </c>
      <c r="H28" s="247" t="str">
        <f>IF(VLOOKUP($A28,'Scoring Inputs'!$A:$AH,12,0)="","",$H$9*VLOOKUP(VLOOKUP($A28,'Scoring Inputs'!$A:$AH,12,0),RANK_TABLE,3,0))</f>
        <v/>
      </c>
      <c r="J28" s="255" t="str">
        <f>IF(VLOOKUP($A28,'Scoring Inputs'!$A:$AH,14,0)="","",$J$9*VLOOKUP(VLOOKUP($A28,'Scoring Inputs'!$A:$AH,14,0),RANK_TABLE,3,0))</f>
        <v/>
      </c>
      <c r="K28" s="15" t="str">
        <f>IF(VLOOKUP($A28,'Scoring Inputs'!$A:$AH,18,0)="","",$K$9*VLOOKUP(VLOOKUP($A28,'Scoring Inputs'!$A:$AH,18,0),RANK_TABLE,3,0))</f>
        <v/>
      </c>
      <c r="L28" s="140" t="str">
        <f>IF(VLOOKUP($A28,'Scoring Inputs'!$A:$AI,35,0)="","",L$9)</f>
        <v/>
      </c>
      <c r="M28" s="140" t="str">
        <f>IF(VLOOKUP($A28,'Scoring Inputs'!$A:$AH,6,0)="","",ROUND(VLOOKUP($A28,'Scoring Inputs'!$A:$AH,6,0)*M$9,0))</f>
        <v/>
      </c>
      <c r="N28" s="252" t="str">
        <f>IF(VLOOKUP($A28,'Scoring Inputs'!$A:$AH,16,0)="","",$N$9*VLOOKUP(VLOOKUP($A28,'Scoring Inputs'!$A:$AH,16,0),RANK_TABLE,3,0))</f>
        <v/>
      </c>
      <c r="O28" s="15" t="str">
        <f>IF(VLOOKUP($A28,'Scoring Inputs'!$A:$AH,20,0)="","",$O$9*VLOOKUP(VLOOKUP($A28,'Scoring Inputs'!$A:$AH,20,0),RANK_TABLE,3,0))</f>
        <v/>
      </c>
      <c r="P28" s="140" t="str">
        <f>IF(VLOOKUP($A28,'Scoring Inputs'!$A:$AH,23,0)="","",$P$9*VLOOKUP(VLOOKUP($A28,'Scoring Inputs'!$A:$AH,23,0),RANK_TABLE,3,0))</f>
        <v/>
      </c>
      <c r="Q28" s="204"/>
      <c r="R28" s="209">
        <f>IF(VLOOKUP($A28,'Scoring Inputs'!$A:$BF,28,0)="","",$R$9*VLOOKUP($A28,'Scoring Inputs'!$A:$BF,28,0))</f>
        <v>0</v>
      </c>
      <c r="T28" s="148">
        <f t="shared" si="6"/>
        <v>0</v>
      </c>
      <c r="U28" s="185">
        <f t="shared" si="7"/>
        <v>0</v>
      </c>
      <c r="W28" s="148"/>
      <c r="Y28" s="147">
        <v>0</v>
      </c>
      <c r="AB28" s="165" t="str">
        <f>IF($Y28&lt;&gt;0,'Cost &amp; Benefit Inputs'!G25*$Y28,"")</f>
        <v/>
      </c>
      <c r="AC28" s="166" t="str">
        <f>IF($Y28&lt;&gt;0,'Cost &amp; Benefit Inputs'!I25*$Y28,"")</f>
        <v/>
      </c>
      <c r="AD28" s="166" t="str">
        <f>IF($Y28&lt;&gt;0,'Cost &amp; Benefit Inputs'!K25*$Y28,"")</f>
        <v/>
      </c>
      <c r="AE28" s="166" t="str">
        <f>IF($Y28&lt;&gt;0,'Cost &amp; Benefit Inputs'!L25*$Y28,"")</f>
        <v/>
      </c>
      <c r="AF28" s="166" t="str">
        <f>IF($Y28&lt;&gt;0,'Cost &amp; Benefit Inputs'!M25*$Y28,"")</f>
        <v/>
      </c>
      <c r="AG28" s="166" t="str">
        <f>IF($Y28&lt;&gt;0,'Cost &amp; Benefit Inputs'!N25*$Y28,"")</f>
        <v/>
      </c>
      <c r="AH28" s="166" t="str">
        <f>IF($Y28&lt;&gt;0,'Cost &amp; Benefit Inputs'!O25*$Y28,"")</f>
        <v/>
      </c>
      <c r="AI28" s="166" t="str">
        <f>IF($Y28&lt;&gt;0,'Cost &amp; Benefit Inputs'!P25*$Y28,"")</f>
        <v/>
      </c>
      <c r="AJ28" s="167" t="str">
        <f>IF($Y28&lt;&gt;0,'Cost &amp; Benefit Inputs'!Q25,"")</f>
        <v/>
      </c>
      <c r="AL28" s="166" t="str">
        <f>IF($Y28,'Cost &amp; Benefit Inputs'!U25,"")</f>
        <v/>
      </c>
      <c r="AM28" s="166" t="str">
        <f>IF($Y28,'Cost &amp; Benefit Inputs'!V25,"")</f>
        <v/>
      </c>
      <c r="AN28" s="166" t="str">
        <f>IF($Y28,'Cost &amp; Benefit Inputs'!W25,"")</f>
        <v/>
      </c>
      <c r="AO28" s="166" t="str">
        <f>IF($Y28,'Cost &amp; Benefit Inputs'!X25,"")</f>
        <v/>
      </c>
      <c r="AP28" s="166" t="str">
        <f>IF($Y28,'Cost &amp; Benefit Inputs'!Y25,"")</f>
        <v/>
      </c>
      <c r="AQ28" s="166" t="str">
        <f>IF($Y28,'Cost &amp; Benefit Inputs'!Z25,"")</f>
        <v/>
      </c>
      <c r="AR28" s="31"/>
      <c r="AS28" s="166" t="str">
        <f>IF($Y28&lt;&gt;0,'Cost &amp; Benefit Inputs'!AB25*$Y28,"")</f>
        <v/>
      </c>
      <c r="AT28" s="166" t="str">
        <f>IF($Y28&lt;&gt;0,'Cost &amp; Benefit Inputs'!AC25*$Y28,"")</f>
        <v/>
      </c>
      <c r="AU28" s="165"/>
      <c r="AV28" s="166" t="str">
        <f>IF($Y28&lt;&gt;0,'Cost &amp; Benefit Inputs'!AE25*$Y28,"")</f>
        <v/>
      </c>
      <c r="AW28" s="166" t="str">
        <f>IF($Y28&lt;&gt;0,'Cost &amp; Benefit Inputs'!AF25*$Y28,"")</f>
        <v/>
      </c>
      <c r="AX28" s="166" t="str">
        <f>IF($Y28&lt;&gt;0,'Cost &amp; Benefit Inputs'!AG25*$Y28,"")</f>
        <v/>
      </c>
      <c r="AY28" s="31"/>
      <c r="AZ28" s="166" t="str">
        <f>IF($Y28&lt;&gt;0,'Cost &amp; Benefit Inputs'!AI25*$Y28,"")</f>
        <v/>
      </c>
      <c r="BA28" s="166" t="str">
        <f>IF($Y28&lt;&gt;0,'Cost &amp; Benefit Inputs'!AJ25*$Y28,"")</f>
        <v/>
      </c>
      <c r="BB28" s="166" t="str">
        <f>IF($Y28&lt;&gt;0,'Cost &amp; Benefit Inputs'!AK25*$Y28,"")</f>
        <v/>
      </c>
      <c r="BC28" s="166" t="str">
        <f>IF($Y28&lt;&gt;0,'Cost &amp; Benefit Inputs'!AL25*$Y28,"")</f>
        <v/>
      </c>
      <c r="BD28" s="173" t="str">
        <f>IF($Y28&lt;&gt;0,'Cost &amp; Benefit Inputs'!AM25,"")</f>
        <v/>
      </c>
    </row>
    <row r="29" spans="1:56" x14ac:dyDescent="0.2">
      <c r="A29" s="128" t="s">
        <v>126</v>
      </c>
      <c r="B29" s="129">
        <f>VLOOKUP($A29,'Scoring Inputs'!$A:$AH,2,0)</f>
        <v>0</v>
      </c>
      <c r="C29" s="129">
        <f>VLOOKUP($A29,'Scoring Inputs'!$A:$AH,3,0)</f>
        <v>0</v>
      </c>
      <c r="E29" s="198" t="str">
        <f>IF(ISBLANK(VLOOKUP($A29,'Scoring Inputs'!$A:$AH,4,0)),"",VLOOKUP($A29,'Scoring Inputs'!$A:$AH,4,0))</f>
        <v/>
      </c>
      <c r="G29" s="14" t="str">
        <f>IF(VLOOKUP($A29,'Scoring Inputs'!$A:$AH,10,0)="","",G$9*VLOOKUP(VLOOKUP($A29,'Scoring Inputs'!$A:$AH,10,0),RANK_TABLE,3,0))</f>
        <v/>
      </c>
      <c r="H29" s="247" t="str">
        <f>IF(VLOOKUP($A29,'Scoring Inputs'!$A:$AH,12,0)="","",$H$9*VLOOKUP(VLOOKUP($A29,'Scoring Inputs'!$A:$AH,12,0),RANK_TABLE,3,0))</f>
        <v/>
      </c>
      <c r="J29" s="255" t="str">
        <f>IF(VLOOKUP($A29,'Scoring Inputs'!$A:$AH,14,0)="","",$J$9*VLOOKUP(VLOOKUP($A29,'Scoring Inputs'!$A:$AH,14,0),RANK_TABLE,3,0))</f>
        <v/>
      </c>
      <c r="K29" s="15" t="str">
        <f>IF(VLOOKUP($A29,'Scoring Inputs'!$A:$AH,18,0)="","",$K$9*VLOOKUP(VLOOKUP($A29,'Scoring Inputs'!$A:$AH,18,0),RANK_TABLE,3,0))</f>
        <v/>
      </c>
      <c r="L29" s="140" t="str">
        <f>IF(VLOOKUP($A29,'Scoring Inputs'!$A:$AI,35,0)="","",L$9)</f>
        <v/>
      </c>
      <c r="M29" s="140" t="str">
        <f>IF(VLOOKUP($A29,'Scoring Inputs'!$A:$AH,6,0)="","",ROUND(VLOOKUP($A29,'Scoring Inputs'!$A:$AH,6,0)*M$9,0))</f>
        <v/>
      </c>
      <c r="N29" s="252" t="str">
        <f>IF(VLOOKUP($A29,'Scoring Inputs'!$A:$AH,16,0)="","",$N$9*VLOOKUP(VLOOKUP($A29,'Scoring Inputs'!$A:$AH,16,0),RANK_TABLE,3,0))</f>
        <v/>
      </c>
      <c r="O29" s="15" t="str">
        <f>IF(VLOOKUP($A29,'Scoring Inputs'!$A:$AH,20,0)="","",$O$9*VLOOKUP(VLOOKUP($A29,'Scoring Inputs'!$A:$AH,20,0),RANK_TABLE,3,0))</f>
        <v/>
      </c>
      <c r="P29" s="140" t="str">
        <f>IF(VLOOKUP($A29,'Scoring Inputs'!$A:$AH,23,0)="","",$P$9*VLOOKUP(VLOOKUP($A29,'Scoring Inputs'!$A:$AH,23,0),RANK_TABLE,3,0))</f>
        <v/>
      </c>
      <c r="Q29" s="204"/>
      <c r="R29" s="209">
        <f>IF(VLOOKUP($A29,'Scoring Inputs'!$A:$BF,28,0)="","",$R$9*VLOOKUP($A29,'Scoring Inputs'!$A:$BF,28,0))</f>
        <v>0</v>
      </c>
      <c r="T29" s="148">
        <f t="shared" si="6"/>
        <v>0</v>
      </c>
      <c r="U29" s="185">
        <f t="shared" si="7"/>
        <v>0</v>
      </c>
      <c r="W29" s="148"/>
      <c r="Y29" s="147">
        <v>0</v>
      </c>
      <c r="AB29" s="165" t="str">
        <f>IF($Y29&lt;&gt;0,'Cost &amp; Benefit Inputs'!G26*$Y29,"")</f>
        <v/>
      </c>
      <c r="AC29" s="166" t="str">
        <f>IF($Y29&lt;&gt;0,'Cost &amp; Benefit Inputs'!I26*$Y29,"")</f>
        <v/>
      </c>
      <c r="AD29" s="166" t="str">
        <f>IF($Y29&lt;&gt;0,'Cost &amp; Benefit Inputs'!K26*$Y29,"")</f>
        <v/>
      </c>
      <c r="AE29" s="166" t="str">
        <f>IF($Y29&lt;&gt;0,'Cost &amp; Benefit Inputs'!L26*$Y29,"")</f>
        <v/>
      </c>
      <c r="AF29" s="166" t="str">
        <f>IF($Y29&lt;&gt;0,'Cost &amp; Benefit Inputs'!M26*$Y29,"")</f>
        <v/>
      </c>
      <c r="AG29" s="166" t="str">
        <f>IF($Y29&lt;&gt;0,'Cost &amp; Benefit Inputs'!N26*$Y29,"")</f>
        <v/>
      </c>
      <c r="AH29" s="166" t="str">
        <f>IF($Y29&lt;&gt;0,'Cost &amp; Benefit Inputs'!O26*$Y29,"")</f>
        <v/>
      </c>
      <c r="AI29" s="166" t="str">
        <f>IF($Y29&lt;&gt;0,'Cost &amp; Benefit Inputs'!P26*$Y29,"")</f>
        <v/>
      </c>
      <c r="AJ29" s="167" t="str">
        <f>IF($Y29&lt;&gt;0,'Cost &amp; Benefit Inputs'!Q26,"")</f>
        <v/>
      </c>
      <c r="AL29" s="166" t="str">
        <f>IF($Y29,'Cost &amp; Benefit Inputs'!U26,"")</f>
        <v/>
      </c>
      <c r="AM29" s="166" t="str">
        <f>IF($Y29,'Cost &amp; Benefit Inputs'!V26,"")</f>
        <v/>
      </c>
      <c r="AN29" s="166" t="str">
        <f>IF($Y29,'Cost &amp; Benefit Inputs'!W26,"")</f>
        <v/>
      </c>
      <c r="AO29" s="166" t="str">
        <f>IF($Y29,'Cost &amp; Benefit Inputs'!X26,"")</f>
        <v/>
      </c>
      <c r="AP29" s="166" t="str">
        <f>IF($Y29,'Cost &amp; Benefit Inputs'!Y26,"")</f>
        <v/>
      </c>
      <c r="AQ29" s="166" t="str">
        <f>IF($Y29,'Cost &amp; Benefit Inputs'!Z26,"")</f>
        <v/>
      </c>
      <c r="AR29" s="31"/>
      <c r="AS29" s="166" t="str">
        <f>IF($Y29&lt;&gt;0,'Cost &amp; Benefit Inputs'!AB26*$Y29,"")</f>
        <v/>
      </c>
      <c r="AT29" s="166" t="str">
        <f>IF($Y29&lt;&gt;0,'Cost &amp; Benefit Inputs'!AC26*$Y29,"")</f>
        <v/>
      </c>
      <c r="AU29" s="165"/>
      <c r="AV29" s="166" t="str">
        <f>IF($Y29&lt;&gt;0,'Cost &amp; Benefit Inputs'!AE26*$Y29,"")</f>
        <v/>
      </c>
      <c r="AW29" s="166" t="str">
        <f>IF($Y29&lt;&gt;0,'Cost &amp; Benefit Inputs'!AF26*$Y29,"")</f>
        <v/>
      </c>
      <c r="AX29" s="166" t="str">
        <f>IF($Y29&lt;&gt;0,'Cost &amp; Benefit Inputs'!AG26*$Y29,"")</f>
        <v/>
      </c>
      <c r="AY29" s="31"/>
      <c r="AZ29" s="166" t="str">
        <f>IF($Y29&lt;&gt;0,'Cost &amp; Benefit Inputs'!AI26*$Y29,"")</f>
        <v/>
      </c>
      <c r="BA29" s="166" t="str">
        <f>IF($Y29&lt;&gt;0,'Cost &amp; Benefit Inputs'!AJ26*$Y29,"")</f>
        <v/>
      </c>
      <c r="BB29" s="166" t="str">
        <f>IF($Y29&lt;&gt;0,'Cost &amp; Benefit Inputs'!AK26*$Y29,"")</f>
        <v/>
      </c>
      <c r="BC29" s="166" t="str">
        <f>IF($Y29&lt;&gt;0,'Cost &amp; Benefit Inputs'!AL26*$Y29,"")</f>
        <v/>
      </c>
      <c r="BD29" s="173" t="str">
        <f>IF($Y29&lt;&gt;0,'Cost &amp; Benefit Inputs'!AM26,"")</f>
        <v/>
      </c>
    </row>
    <row r="30" spans="1:56" x14ac:dyDescent="0.2">
      <c r="A30" s="128" t="s">
        <v>127</v>
      </c>
      <c r="B30" s="129">
        <f>VLOOKUP($A30,'Scoring Inputs'!$A:$AH,2,0)</f>
        <v>0</v>
      </c>
      <c r="C30" s="129">
        <f>VLOOKUP($A30,'Scoring Inputs'!$A:$AH,3,0)</f>
        <v>0</v>
      </c>
      <c r="E30" s="198" t="str">
        <f>IF(ISBLANK(VLOOKUP($A30,'Scoring Inputs'!$A:$AH,4,0)),"",VLOOKUP($A30,'Scoring Inputs'!$A:$AH,4,0))</f>
        <v/>
      </c>
      <c r="G30" s="14" t="str">
        <f>IF(VLOOKUP($A30,'Scoring Inputs'!$A:$AH,10,0)="","",G$9*VLOOKUP(VLOOKUP($A30,'Scoring Inputs'!$A:$AH,10,0),RANK_TABLE,3,0))</f>
        <v/>
      </c>
      <c r="H30" s="247" t="str">
        <f>IF(VLOOKUP($A30,'Scoring Inputs'!$A:$AH,12,0)="","",$H$9*VLOOKUP(VLOOKUP($A30,'Scoring Inputs'!$A:$AH,12,0),RANK_TABLE,3,0))</f>
        <v/>
      </c>
      <c r="J30" s="255" t="str">
        <f>IF(VLOOKUP($A30,'Scoring Inputs'!$A:$AH,14,0)="","",$J$9*VLOOKUP(VLOOKUP($A30,'Scoring Inputs'!$A:$AH,14,0),RANK_TABLE,3,0))</f>
        <v/>
      </c>
      <c r="K30" s="15" t="str">
        <f>IF(VLOOKUP($A30,'Scoring Inputs'!$A:$AH,18,0)="","",$K$9*VLOOKUP(VLOOKUP($A30,'Scoring Inputs'!$A:$AH,18,0),RANK_TABLE,3,0))</f>
        <v/>
      </c>
      <c r="L30" s="140" t="str">
        <f>IF(VLOOKUP($A30,'Scoring Inputs'!$A:$AI,35,0)="","",L$9)</f>
        <v/>
      </c>
      <c r="M30" s="140" t="str">
        <f>IF(VLOOKUP($A30,'Scoring Inputs'!$A:$AH,6,0)="","",ROUND(VLOOKUP($A30,'Scoring Inputs'!$A:$AH,6,0)*M$9,0))</f>
        <v/>
      </c>
      <c r="N30" s="252" t="str">
        <f>IF(VLOOKUP($A30,'Scoring Inputs'!$A:$AH,16,0)="","",$N$9*VLOOKUP(VLOOKUP($A30,'Scoring Inputs'!$A:$AH,16,0),RANK_TABLE,3,0))</f>
        <v/>
      </c>
      <c r="O30" s="15" t="str">
        <f>IF(VLOOKUP($A30,'Scoring Inputs'!$A:$AH,20,0)="","",$O$9*VLOOKUP(VLOOKUP($A30,'Scoring Inputs'!$A:$AH,20,0),RANK_TABLE,3,0))</f>
        <v/>
      </c>
      <c r="P30" s="140" t="str">
        <f>IF(VLOOKUP($A30,'Scoring Inputs'!$A:$AH,23,0)="","",$P$9*VLOOKUP(VLOOKUP($A30,'Scoring Inputs'!$A:$AH,23,0),RANK_TABLE,3,0))</f>
        <v/>
      </c>
      <c r="Q30" s="204"/>
      <c r="R30" s="209">
        <f>IF(VLOOKUP($A30,'Scoring Inputs'!$A:$BF,28,0)="","",$R$9*VLOOKUP($A30,'Scoring Inputs'!$A:$BF,28,0))</f>
        <v>0</v>
      </c>
      <c r="T30" s="148">
        <f t="shared" si="6"/>
        <v>0</v>
      </c>
      <c r="U30" s="185">
        <f t="shared" si="7"/>
        <v>0</v>
      </c>
      <c r="W30" s="148"/>
      <c r="Y30" s="147">
        <v>0</v>
      </c>
      <c r="AB30" s="165" t="str">
        <f>IF($Y30&lt;&gt;0,'Cost &amp; Benefit Inputs'!G27*$Y30,"")</f>
        <v/>
      </c>
      <c r="AC30" s="166" t="str">
        <f>IF($Y30&lt;&gt;0,'Cost &amp; Benefit Inputs'!I27*$Y30,"")</f>
        <v/>
      </c>
      <c r="AD30" s="166" t="str">
        <f>IF($Y30&lt;&gt;0,'Cost &amp; Benefit Inputs'!K27*$Y30,"")</f>
        <v/>
      </c>
      <c r="AE30" s="166" t="str">
        <f>IF($Y30&lt;&gt;0,'Cost &amp; Benefit Inputs'!L27*$Y30,"")</f>
        <v/>
      </c>
      <c r="AF30" s="166" t="str">
        <f>IF($Y30&lt;&gt;0,'Cost &amp; Benefit Inputs'!M27*$Y30,"")</f>
        <v/>
      </c>
      <c r="AG30" s="166" t="str">
        <f>IF($Y30&lt;&gt;0,'Cost &amp; Benefit Inputs'!N27*$Y30,"")</f>
        <v/>
      </c>
      <c r="AH30" s="166" t="str">
        <f>IF($Y30&lt;&gt;0,'Cost &amp; Benefit Inputs'!O27*$Y30,"")</f>
        <v/>
      </c>
      <c r="AI30" s="166" t="str">
        <f>IF($Y30&lt;&gt;0,'Cost &amp; Benefit Inputs'!P27*$Y30,"")</f>
        <v/>
      </c>
      <c r="AJ30" s="167" t="str">
        <f>IF($Y30&lt;&gt;0,'Cost &amp; Benefit Inputs'!Q27,"")</f>
        <v/>
      </c>
      <c r="AL30" s="166" t="str">
        <f>IF($Y30,'Cost &amp; Benefit Inputs'!U27,"")</f>
        <v/>
      </c>
      <c r="AM30" s="166" t="str">
        <f>IF($Y30,'Cost &amp; Benefit Inputs'!V27,"")</f>
        <v/>
      </c>
      <c r="AN30" s="166" t="str">
        <f>IF($Y30,'Cost &amp; Benefit Inputs'!W27,"")</f>
        <v/>
      </c>
      <c r="AO30" s="166" t="str">
        <f>IF($Y30,'Cost &amp; Benefit Inputs'!X27,"")</f>
        <v/>
      </c>
      <c r="AP30" s="166" t="str">
        <f>IF($Y30,'Cost &amp; Benefit Inputs'!Y27,"")</f>
        <v/>
      </c>
      <c r="AQ30" s="166" t="str">
        <f>IF($Y30,'Cost &amp; Benefit Inputs'!Z27,"")</f>
        <v/>
      </c>
      <c r="AR30" s="31"/>
      <c r="AS30" s="166" t="str">
        <f>IF($Y30&lt;&gt;0,'Cost &amp; Benefit Inputs'!AB27*$Y30,"")</f>
        <v/>
      </c>
      <c r="AT30" s="166" t="str">
        <f>IF($Y30&lt;&gt;0,'Cost &amp; Benefit Inputs'!AC27*$Y30,"")</f>
        <v/>
      </c>
      <c r="AU30" s="165"/>
      <c r="AV30" s="166" t="str">
        <f>IF($Y30&lt;&gt;0,'Cost &amp; Benefit Inputs'!AE27*$Y30,"")</f>
        <v/>
      </c>
      <c r="AW30" s="166" t="str">
        <f>IF($Y30&lt;&gt;0,'Cost &amp; Benefit Inputs'!AF27*$Y30,"")</f>
        <v/>
      </c>
      <c r="AX30" s="166" t="str">
        <f>IF($Y30&lt;&gt;0,'Cost &amp; Benefit Inputs'!AG27*$Y30,"")</f>
        <v/>
      </c>
      <c r="AY30" s="31"/>
      <c r="AZ30" s="166" t="str">
        <f>IF($Y30&lt;&gt;0,'Cost &amp; Benefit Inputs'!AI27*$Y30,"")</f>
        <v/>
      </c>
      <c r="BA30" s="166" t="str">
        <f>IF($Y30&lt;&gt;0,'Cost &amp; Benefit Inputs'!AJ27*$Y30,"")</f>
        <v/>
      </c>
      <c r="BB30" s="166" t="str">
        <f>IF($Y30&lt;&gt;0,'Cost &amp; Benefit Inputs'!AK27*$Y30,"")</f>
        <v/>
      </c>
      <c r="BC30" s="166" t="str">
        <f>IF($Y30&lt;&gt;0,'Cost &amp; Benefit Inputs'!AL27*$Y30,"")</f>
        <v/>
      </c>
      <c r="BD30" s="173" t="str">
        <f>IF($Y30&lt;&gt;0,'Cost &amp; Benefit Inputs'!AM27,"")</f>
        <v/>
      </c>
    </row>
    <row r="31" spans="1:56" x14ac:dyDescent="0.2">
      <c r="A31" s="128" t="s">
        <v>128</v>
      </c>
      <c r="B31" s="129">
        <f>VLOOKUP($A31,'Scoring Inputs'!$A:$AH,2,0)</f>
        <v>0</v>
      </c>
      <c r="C31" s="129">
        <f>VLOOKUP($A31,'Scoring Inputs'!$A:$AH,3,0)</f>
        <v>0</v>
      </c>
      <c r="E31" s="198" t="str">
        <f>IF(ISBLANK(VLOOKUP($A31,'Scoring Inputs'!$A:$AH,4,0)),"",VLOOKUP($A31,'Scoring Inputs'!$A:$AH,4,0))</f>
        <v/>
      </c>
      <c r="G31" s="14" t="str">
        <f>IF(VLOOKUP($A31,'Scoring Inputs'!$A:$AH,10,0)="","",G$9*VLOOKUP(VLOOKUP($A31,'Scoring Inputs'!$A:$AH,10,0),RANK_TABLE,3,0))</f>
        <v/>
      </c>
      <c r="H31" s="247" t="str">
        <f>IF(VLOOKUP($A31,'Scoring Inputs'!$A:$AH,12,0)="","",$H$9*VLOOKUP(VLOOKUP($A31,'Scoring Inputs'!$A:$AH,12,0),RANK_TABLE,3,0))</f>
        <v/>
      </c>
      <c r="J31" s="255" t="str">
        <f>IF(VLOOKUP($A31,'Scoring Inputs'!$A:$AH,14,0)="","",$J$9*VLOOKUP(VLOOKUP($A31,'Scoring Inputs'!$A:$AH,14,0),RANK_TABLE,3,0))</f>
        <v/>
      </c>
      <c r="K31" s="15" t="str">
        <f>IF(VLOOKUP($A31,'Scoring Inputs'!$A:$AH,18,0)="","",$K$9*VLOOKUP(VLOOKUP($A31,'Scoring Inputs'!$A:$AH,18,0),RANK_TABLE,3,0))</f>
        <v/>
      </c>
      <c r="L31" s="140" t="str">
        <f>IF(VLOOKUP($A31,'Scoring Inputs'!$A:$AI,35,0)="","",L$9)</f>
        <v/>
      </c>
      <c r="M31" s="140" t="str">
        <f>IF(VLOOKUP($A31,'Scoring Inputs'!$A:$AH,6,0)="","",ROUND(VLOOKUP($A31,'Scoring Inputs'!$A:$AH,6,0)*M$9,0))</f>
        <v/>
      </c>
      <c r="N31" s="252" t="str">
        <f>IF(VLOOKUP($A31,'Scoring Inputs'!$A:$AH,16,0)="","",$N$9*VLOOKUP(VLOOKUP($A31,'Scoring Inputs'!$A:$AH,16,0),RANK_TABLE,3,0))</f>
        <v/>
      </c>
      <c r="O31" s="15" t="str">
        <f>IF(VLOOKUP($A31,'Scoring Inputs'!$A:$AH,20,0)="","",$O$9*VLOOKUP(VLOOKUP($A31,'Scoring Inputs'!$A:$AH,20,0),RANK_TABLE,3,0))</f>
        <v/>
      </c>
      <c r="P31" s="140" t="str">
        <f>IF(VLOOKUP($A31,'Scoring Inputs'!$A:$AH,23,0)="","",$P$9*VLOOKUP(VLOOKUP($A31,'Scoring Inputs'!$A:$AH,23,0),RANK_TABLE,3,0))</f>
        <v/>
      </c>
      <c r="Q31" s="204"/>
      <c r="R31" s="209">
        <f>IF(VLOOKUP($A31,'Scoring Inputs'!$A:$BF,28,0)="","",$R$9*VLOOKUP($A31,'Scoring Inputs'!$A:$BF,28,0))</f>
        <v>0</v>
      </c>
      <c r="T31" s="148">
        <f t="shared" si="6"/>
        <v>0</v>
      </c>
      <c r="U31" s="185">
        <f t="shared" si="7"/>
        <v>0</v>
      </c>
      <c r="W31" s="148"/>
      <c r="Y31" s="147">
        <v>0</v>
      </c>
      <c r="AB31" s="165" t="str">
        <f>IF($Y31&lt;&gt;0,'Cost &amp; Benefit Inputs'!G28*$Y31,"")</f>
        <v/>
      </c>
      <c r="AC31" s="166" t="str">
        <f>IF($Y31&lt;&gt;0,'Cost &amp; Benefit Inputs'!I28*$Y31,"")</f>
        <v/>
      </c>
      <c r="AD31" s="166" t="str">
        <f>IF($Y31&lt;&gt;0,'Cost &amp; Benefit Inputs'!K28*$Y31,"")</f>
        <v/>
      </c>
      <c r="AE31" s="166" t="str">
        <f>IF($Y31&lt;&gt;0,'Cost &amp; Benefit Inputs'!L28*$Y31,"")</f>
        <v/>
      </c>
      <c r="AF31" s="166" t="str">
        <f>IF($Y31&lt;&gt;0,'Cost &amp; Benefit Inputs'!M28*$Y31,"")</f>
        <v/>
      </c>
      <c r="AG31" s="166" t="str">
        <f>IF($Y31&lt;&gt;0,'Cost &amp; Benefit Inputs'!N28*$Y31,"")</f>
        <v/>
      </c>
      <c r="AH31" s="166" t="str">
        <f>IF($Y31&lt;&gt;0,'Cost &amp; Benefit Inputs'!O28*$Y31,"")</f>
        <v/>
      </c>
      <c r="AI31" s="166" t="str">
        <f>IF($Y31&lt;&gt;0,'Cost &amp; Benefit Inputs'!P28*$Y31,"")</f>
        <v/>
      </c>
      <c r="AJ31" s="167" t="str">
        <f>IF($Y31&lt;&gt;0,'Cost &amp; Benefit Inputs'!Q28,"")</f>
        <v/>
      </c>
      <c r="AL31" s="166" t="str">
        <f>IF($Y31,'Cost &amp; Benefit Inputs'!U28,"")</f>
        <v/>
      </c>
      <c r="AM31" s="166" t="str">
        <f>IF($Y31,'Cost &amp; Benefit Inputs'!V28,"")</f>
        <v/>
      </c>
      <c r="AN31" s="166" t="str">
        <f>IF($Y31,'Cost &amp; Benefit Inputs'!W28,"")</f>
        <v/>
      </c>
      <c r="AO31" s="166" t="str">
        <f>IF($Y31,'Cost &amp; Benefit Inputs'!X28,"")</f>
        <v/>
      </c>
      <c r="AP31" s="166" t="str">
        <f>IF($Y31,'Cost &amp; Benefit Inputs'!Y28,"")</f>
        <v/>
      </c>
      <c r="AQ31" s="166" t="str">
        <f>IF($Y31,'Cost &amp; Benefit Inputs'!Z28,"")</f>
        <v/>
      </c>
      <c r="AR31" s="31"/>
      <c r="AS31" s="166" t="str">
        <f>IF($Y31&lt;&gt;0,'Cost &amp; Benefit Inputs'!AB28*$Y31,"")</f>
        <v/>
      </c>
      <c r="AT31" s="166" t="str">
        <f>IF($Y31&lt;&gt;0,'Cost &amp; Benefit Inputs'!AC28*$Y31,"")</f>
        <v/>
      </c>
      <c r="AU31" s="165"/>
      <c r="AV31" s="166" t="str">
        <f>IF($Y31&lt;&gt;0,'Cost &amp; Benefit Inputs'!AE28*$Y31,"")</f>
        <v/>
      </c>
      <c r="AW31" s="166" t="str">
        <f>IF($Y31&lt;&gt;0,'Cost &amp; Benefit Inputs'!AF28*$Y31,"")</f>
        <v/>
      </c>
      <c r="AX31" s="166" t="str">
        <f>IF($Y31&lt;&gt;0,'Cost &amp; Benefit Inputs'!AG28*$Y31,"")</f>
        <v/>
      </c>
      <c r="AY31" s="31"/>
      <c r="AZ31" s="166" t="str">
        <f>IF($Y31&lt;&gt;0,'Cost &amp; Benefit Inputs'!AI28*$Y31,"")</f>
        <v/>
      </c>
      <c r="BA31" s="166" t="str">
        <f>IF($Y31&lt;&gt;0,'Cost &amp; Benefit Inputs'!AJ28*$Y31,"")</f>
        <v/>
      </c>
      <c r="BB31" s="166" t="str">
        <f>IF($Y31&lt;&gt;0,'Cost &amp; Benefit Inputs'!AK28*$Y31,"")</f>
        <v/>
      </c>
      <c r="BC31" s="166" t="str">
        <f>IF($Y31&lt;&gt;0,'Cost &amp; Benefit Inputs'!AL28*$Y31,"")</f>
        <v/>
      </c>
      <c r="BD31" s="173" t="str">
        <f>IF($Y31&lt;&gt;0,'Cost &amp; Benefit Inputs'!AM28,"")</f>
        <v/>
      </c>
    </row>
    <row r="32" spans="1:56" x14ac:dyDescent="0.2">
      <c r="A32" s="128" t="s">
        <v>129</v>
      </c>
      <c r="B32" s="129">
        <f>VLOOKUP($A32,'Scoring Inputs'!$A:$AH,2,0)</f>
        <v>0</v>
      </c>
      <c r="C32" s="129">
        <f>VLOOKUP($A32,'Scoring Inputs'!$A:$AH,3,0)</f>
        <v>0</v>
      </c>
      <c r="E32" s="198" t="str">
        <f>IF(ISBLANK(VLOOKUP($A32,'Scoring Inputs'!$A:$AH,4,0)),"",VLOOKUP($A32,'Scoring Inputs'!$A:$AH,4,0))</f>
        <v/>
      </c>
      <c r="G32" s="14" t="str">
        <f>IF(VLOOKUP($A32,'Scoring Inputs'!$A:$AH,10,0)="","",G$9*VLOOKUP(VLOOKUP($A32,'Scoring Inputs'!$A:$AH,10,0),RANK_TABLE,3,0))</f>
        <v/>
      </c>
      <c r="H32" s="247" t="str">
        <f>IF(VLOOKUP($A32,'Scoring Inputs'!$A:$AH,12,0)="","",$H$9*VLOOKUP(VLOOKUP($A32,'Scoring Inputs'!$A:$AH,12,0),RANK_TABLE,3,0))</f>
        <v/>
      </c>
      <c r="J32" s="255" t="str">
        <f>IF(VLOOKUP($A32,'Scoring Inputs'!$A:$AH,14,0)="","",$J$9*VLOOKUP(VLOOKUP($A32,'Scoring Inputs'!$A:$AH,14,0),RANK_TABLE,3,0))</f>
        <v/>
      </c>
      <c r="K32" s="15" t="str">
        <f>IF(VLOOKUP($A32,'Scoring Inputs'!$A:$AH,18,0)="","",$K$9*VLOOKUP(VLOOKUP($A32,'Scoring Inputs'!$A:$AH,18,0),RANK_TABLE,3,0))</f>
        <v/>
      </c>
      <c r="L32" s="140" t="str">
        <f>IF(VLOOKUP($A32,'Scoring Inputs'!$A:$AI,35,0)="","",L$9)</f>
        <v/>
      </c>
      <c r="M32" s="140" t="str">
        <f>IF(VLOOKUP($A32,'Scoring Inputs'!$A:$AH,6,0)="","",ROUND(VLOOKUP($A32,'Scoring Inputs'!$A:$AH,6,0)*M$9,0))</f>
        <v/>
      </c>
      <c r="N32" s="252" t="str">
        <f>IF(VLOOKUP($A32,'Scoring Inputs'!$A:$AH,16,0)="","",$N$9*VLOOKUP(VLOOKUP($A32,'Scoring Inputs'!$A:$AH,16,0),RANK_TABLE,3,0))</f>
        <v/>
      </c>
      <c r="O32" s="15" t="str">
        <f>IF(VLOOKUP($A32,'Scoring Inputs'!$A:$AH,20,0)="","",$O$9*VLOOKUP(VLOOKUP($A32,'Scoring Inputs'!$A:$AH,20,0),RANK_TABLE,3,0))</f>
        <v/>
      </c>
      <c r="P32" s="140" t="str">
        <f>IF(VLOOKUP($A32,'Scoring Inputs'!$A:$AH,23,0)="","",$P$9*VLOOKUP(VLOOKUP($A32,'Scoring Inputs'!$A:$AH,23,0),RANK_TABLE,3,0))</f>
        <v/>
      </c>
      <c r="Q32" s="204"/>
      <c r="R32" s="209">
        <f>IF(VLOOKUP($A32,'Scoring Inputs'!$A:$BF,28,0)="","",$R$9*VLOOKUP($A32,'Scoring Inputs'!$A:$BF,28,0))</f>
        <v>0</v>
      </c>
      <c r="T32" s="148">
        <f t="shared" si="6"/>
        <v>0</v>
      </c>
      <c r="U32" s="185">
        <f t="shared" si="7"/>
        <v>0</v>
      </c>
      <c r="W32" s="148"/>
      <c r="Y32" s="147">
        <v>0</v>
      </c>
      <c r="AB32" s="165" t="str">
        <f>IF($Y32&lt;&gt;0,'Cost &amp; Benefit Inputs'!G29*$Y32,"")</f>
        <v/>
      </c>
      <c r="AC32" s="166" t="str">
        <f>IF($Y32&lt;&gt;0,'Cost &amp; Benefit Inputs'!I29*$Y32,"")</f>
        <v/>
      </c>
      <c r="AD32" s="166" t="str">
        <f>IF($Y32&lt;&gt;0,'Cost &amp; Benefit Inputs'!K29*$Y32,"")</f>
        <v/>
      </c>
      <c r="AE32" s="166" t="str">
        <f>IF($Y32&lt;&gt;0,'Cost &amp; Benefit Inputs'!L29*$Y32,"")</f>
        <v/>
      </c>
      <c r="AF32" s="166" t="str">
        <f>IF($Y32&lt;&gt;0,'Cost &amp; Benefit Inputs'!M29*$Y32,"")</f>
        <v/>
      </c>
      <c r="AG32" s="166" t="str">
        <f>IF($Y32&lt;&gt;0,'Cost &amp; Benefit Inputs'!N29*$Y32,"")</f>
        <v/>
      </c>
      <c r="AH32" s="166" t="str">
        <f>IF($Y32&lt;&gt;0,'Cost &amp; Benefit Inputs'!O29*$Y32,"")</f>
        <v/>
      </c>
      <c r="AI32" s="166" t="str">
        <f>IF($Y32&lt;&gt;0,'Cost &amp; Benefit Inputs'!P29*$Y32,"")</f>
        <v/>
      </c>
      <c r="AJ32" s="167" t="str">
        <f>IF($Y32&lt;&gt;0,'Cost &amp; Benefit Inputs'!Q29,"")</f>
        <v/>
      </c>
      <c r="AL32" s="166" t="str">
        <f>IF($Y32,'Cost &amp; Benefit Inputs'!U29,"")</f>
        <v/>
      </c>
      <c r="AM32" s="166" t="str">
        <f>IF($Y32,'Cost &amp; Benefit Inputs'!V29,"")</f>
        <v/>
      </c>
      <c r="AN32" s="166" t="str">
        <f>IF($Y32,'Cost &amp; Benefit Inputs'!W29,"")</f>
        <v/>
      </c>
      <c r="AO32" s="166" t="str">
        <f>IF($Y32,'Cost &amp; Benefit Inputs'!X29,"")</f>
        <v/>
      </c>
      <c r="AP32" s="166" t="str">
        <f>IF($Y32,'Cost &amp; Benefit Inputs'!Y29,"")</f>
        <v/>
      </c>
      <c r="AQ32" s="166" t="str">
        <f>IF($Y32,'Cost &amp; Benefit Inputs'!Z29,"")</f>
        <v/>
      </c>
      <c r="AR32" s="31"/>
      <c r="AS32" s="166" t="str">
        <f>IF($Y32&lt;&gt;0,'Cost &amp; Benefit Inputs'!AB29*$Y32,"")</f>
        <v/>
      </c>
      <c r="AT32" s="166" t="str">
        <f>IF($Y32&lt;&gt;0,'Cost &amp; Benefit Inputs'!AC29*$Y32,"")</f>
        <v/>
      </c>
      <c r="AU32" s="165"/>
      <c r="AV32" s="166" t="str">
        <f>IF($Y32&lt;&gt;0,'Cost &amp; Benefit Inputs'!AE29*$Y32,"")</f>
        <v/>
      </c>
      <c r="AW32" s="166" t="str">
        <f>IF($Y32&lt;&gt;0,'Cost &amp; Benefit Inputs'!AF29*$Y32,"")</f>
        <v/>
      </c>
      <c r="AX32" s="166" t="str">
        <f>IF($Y32&lt;&gt;0,'Cost &amp; Benefit Inputs'!AG29*$Y32,"")</f>
        <v/>
      </c>
      <c r="AY32" s="31"/>
      <c r="AZ32" s="166" t="str">
        <f>IF($Y32&lt;&gt;0,'Cost &amp; Benefit Inputs'!AI29*$Y32,"")</f>
        <v/>
      </c>
      <c r="BA32" s="166" t="str">
        <f>IF($Y32&lt;&gt;0,'Cost &amp; Benefit Inputs'!AJ29*$Y32,"")</f>
        <v/>
      </c>
      <c r="BB32" s="166" t="str">
        <f>IF($Y32&lt;&gt;0,'Cost &amp; Benefit Inputs'!AK29*$Y32,"")</f>
        <v/>
      </c>
      <c r="BC32" s="166" t="str">
        <f>IF($Y32&lt;&gt;0,'Cost &amp; Benefit Inputs'!AL29*$Y32,"")</f>
        <v/>
      </c>
      <c r="BD32" s="173" t="str">
        <f>IF($Y32&lt;&gt;0,'Cost &amp; Benefit Inputs'!AM29,"")</f>
        <v/>
      </c>
    </row>
    <row r="33" spans="1:56" x14ac:dyDescent="0.2">
      <c r="A33" s="128" t="s">
        <v>130</v>
      </c>
      <c r="B33" s="129">
        <f>VLOOKUP($A33,'Scoring Inputs'!$A:$AH,2,0)</f>
        <v>0</v>
      </c>
      <c r="C33" s="129">
        <f>VLOOKUP($A33,'Scoring Inputs'!$A:$AH,3,0)</f>
        <v>0</v>
      </c>
      <c r="E33" s="198" t="str">
        <f>IF(ISBLANK(VLOOKUP($A33,'Scoring Inputs'!$A:$AH,4,0)),"",VLOOKUP($A33,'Scoring Inputs'!$A:$AH,4,0))</f>
        <v/>
      </c>
      <c r="G33" s="14" t="str">
        <f>IF(VLOOKUP($A33,'Scoring Inputs'!$A:$AH,10,0)="","",G$9*VLOOKUP(VLOOKUP($A33,'Scoring Inputs'!$A:$AH,10,0),RANK_TABLE,3,0))</f>
        <v/>
      </c>
      <c r="H33" s="247" t="str">
        <f>IF(VLOOKUP($A33,'Scoring Inputs'!$A:$AH,12,0)="","",$H$9*VLOOKUP(VLOOKUP($A33,'Scoring Inputs'!$A:$AH,12,0),RANK_TABLE,3,0))</f>
        <v/>
      </c>
      <c r="J33" s="255" t="str">
        <f>IF(VLOOKUP($A33,'Scoring Inputs'!$A:$AH,14,0)="","",$J$9*VLOOKUP(VLOOKUP($A33,'Scoring Inputs'!$A:$AH,14,0),RANK_TABLE,3,0))</f>
        <v/>
      </c>
      <c r="K33" s="15" t="str">
        <f>IF(VLOOKUP($A33,'Scoring Inputs'!$A:$AH,18,0)="","",$K$9*VLOOKUP(VLOOKUP($A33,'Scoring Inputs'!$A:$AH,18,0),RANK_TABLE,3,0))</f>
        <v/>
      </c>
      <c r="L33" s="140" t="str">
        <f>IF(VLOOKUP($A33,'Scoring Inputs'!$A:$AI,35,0)="","",L$9)</f>
        <v/>
      </c>
      <c r="M33" s="140" t="str">
        <f>IF(VLOOKUP($A33,'Scoring Inputs'!$A:$AH,6,0)="","",ROUND(VLOOKUP($A33,'Scoring Inputs'!$A:$AH,6,0)*M$9,0))</f>
        <v/>
      </c>
      <c r="N33" s="252" t="str">
        <f>IF(VLOOKUP($A33,'Scoring Inputs'!$A:$AH,16,0)="","",$N$9*VLOOKUP(VLOOKUP($A33,'Scoring Inputs'!$A:$AH,16,0),RANK_TABLE,3,0))</f>
        <v/>
      </c>
      <c r="O33" s="15" t="str">
        <f>IF(VLOOKUP($A33,'Scoring Inputs'!$A:$AH,20,0)="","",$O$9*VLOOKUP(VLOOKUP($A33,'Scoring Inputs'!$A:$AH,20,0),RANK_TABLE,3,0))</f>
        <v/>
      </c>
      <c r="P33" s="140" t="str">
        <f>IF(VLOOKUP($A33,'Scoring Inputs'!$A:$AH,23,0)="","",$P$9*VLOOKUP(VLOOKUP($A33,'Scoring Inputs'!$A:$AH,23,0),RANK_TABLE,3,0))</f>
        <v/>
      </c>
      <c r="Q33" s="204"/>
      <c r="R33" s="209">
        <f>IF(VLOOKUP($A33,'Scoring Inputs'!$A:$BF,28,0)="","",$R$9*VLOOKUP($A33,'Scoring Inputs'!$A:$BF,28,0))</f>
        <v>0</v>
      </c>
      <c r="T33" s="148">
        <f t="shared" si="6"/>
        <v>0</v>
      </c>
      <c r="U33" s="185">
        <f t="shared" si="7"/>
        <v>0</v>
      </c>
      <c r="W33" s="148"/>
      <c r="Y33" s="147">
        <v>0</v>
      </c>
      <c r="AB33" s="165" t="str">
        <f>IF($Y33&lt;&gt;0,'Cost &amp; Benefit Inputs'!G30*$Y33,"")</f>
        <v/>
      </c>
      <c r="AC33" s="166" t="str">
        <f>IF($Y33&lt;&gt;0,'Cost &amp; Benefit Inputs'!I30*$Y33,"")</f>
        <v/>
      </c>
      <c r="AD33" s="166" t="str">
        <f>IF($Y33&lt;&gt;0,'Cost &amp; Benefit Inputs'!K30*$Y33,"")</f>
        <v/>
      </c>
      <c r="AE33" s="166" t="str">
        <f>IF($Y33&lt;&gt;0,'Cost &amp; Benefit Inputs'!L30*$Y33,"")</f>
        <v/>
      </c>
      <c r="AF33" s="166" t="str">
        <f>IF($Y33&lt;&gt;0,'Cost &amp; Benefit Inputs'!M30*$Y33,"")</f>
        <v/>
      </c>
      <c r="AG33" s="166" t="str">
        <f>IF($Y33&lt;&gt;0,'Cost &amp; Benefit Inputs'!N30*$Y33,"")</f>
        <v/>
      </c>
      <c r="AH33" s="166" t="str">
        <f>IF($Y33&lt;&gt;0,'Cost &amp; Benefit Inputs'!O30*$Y33,"")</f>
        <v/>
      </c>
      <c r="AI33" s="166" t="str">
        <f>IF($Y33&lt;&gt;0,'Cost &amp; Benefit Inputs'!P30*$Y33,"")</f>
        <v/>
      </c>
      <c r="AJ33" s="167" t="str">
        <f>IF($Y33&lt;&gt;0,'Cost &amp; Benefit Inputs'!Q30,"")</f>
        <v/>
      </c>
      <c r="AL33" s="166" t="str">
        <f>IF($Y33,'Cost &amp; Benefit Inputs'!U30,"")</f>
        <v/>
      </c>
      <c r="AM33" s="166" t="str">
        <f>IF($Y33,'Cost &amp; Benefit Inputs'!V30,"")</f>
        <v/>
      </c>
      <c r="AN33" s="166" t="str">
        <f>IF($Y33,'Cost &amp; Benefit Inputs'!W30,"")</f>
        <v/>
      </c>
      <c r="AO33" s="166" t="str">
        <f>IF($Y33,'Cost &amp; Benefit Inputs'!X30,"")</f>
        <v/>
      </c>
      <c r="AP33" s="166" t="str">
        <f>IF($Y33,'Cost &amp; Benefit Inputs'!Y30,"")</f>
        <v/>
      </c>
      <c r="AQ33" s="166" t="str">
        <f>IF($Y33,'Cost &amp; Benefit Inputs'!Z30,"")</f>
        <v/>
      </c>
      <c r="AR33" s="31"/>
      <c r="AS33" s="166" t="str">
        <f>IF($Y33&lt;&gt;0,'Cost &amp; Benefit Inputs'!AB30*$Y33,"")</f>
        <v/>
      </c>
      <c r="AT33" s="166" t="str">
        <f>IF($Y33&lt;&gt;0,'Cost &amp; Benefit Inputs'!AC30*$Y33,"")</f>
        <v/>
      </c>
      <c r="AU33" s="165"/>
      <c r="AV33" s="166" t="str">
        <f>IF($Y33&lt;&gt;0,'Cost &amp; Benefit Inputs'!AE30*$Y33,"")</f>
        <v/>
      </c>
      <c r="AW33" s="166" t="str">
        <f>IF($Y33&lt;&gt;0,'Cost &amp; Benefit Inputs'!AF30*$Y33,"")</f>
        <v/>
      </c>
      <c r="AX33" s="166" t="str">
        <f>IF($Y33&lt;&gt;0,'Cost &amp; Benefit Inputs'!AG30*$Y33,"")</f>
        <v/>
      </c>
      <c r="AY33" s="31"/>
      <c r="AZ33" s="166" t="str">
        <f>IF($Y33&lt;&gt;0,'Cost &amp; Benefit Inputs'!AI30*$Y33,"")</f>
        <v/>
      </c>
      <c r="BA33" s="166" t="str">
        <f>IF($Y33&lt;&gt;0,'Cost &amp; Benefit Inputs'!AJ30*$Y33,"")</f>
        <v/>
      </c>
      <c r="BB33" s="166" t="str">
        <f>IF($Y33&lt;&gt;0,'Cost &amp; Benefit Inputs'!AK30*$Y33,"")</f>
        <v/>
      </c>
      <c r="BC33" s="166" t="str">
        <f>IF($Y33&lt;&gt;0,'Cost &amp; Benefit Inputs'!AL30*$Y33,"")</f>
        <v/>
      </c>
      <c r="BD33" s="173" t="str">
        <f>IF($Y33&lt;&gt;0,'Cost &amp; Benefit Inputs'!AM30,"")</f>
        <v/>
      </c>
    </row>
    <row r="34" spans="1:56" x14ac:dyDescent="0.2">
      <c r="A34" s="128" t="s">
        <v>131</v>
      </c>
      <c r="B34" s="129">
        <f>VLOOKUP($A34,'Scoring Inputs'!$A:$AH,2,0)</f>
        <v>0</v>
      </c>
      <c r="C34" s="129">
        <f>VLOOKUP($A34,'Scoring Inputs'!$A:$AH,3,0)</f>
        <v>0</v>
      </c>
      <c r="E34" s="198" t="str">
        <f>IF(ISBLANK(VLOOKUP($A34,'Scoring Inputs'!$A:$AH,4,0)),"",VLOOKUP($A34,'Scoring Inputs'!$A:$AH,4,0))</f>
        <v/>
      </c>
      <c r="G34" s="14" t="str">
        <f>IF(VLOOKUP($A34,'Scoring Inputs'!$A:$AH,10,0)="","",G$9*VLOOKUP(VLOOKUP($A34,'Scoring Inputs'!$A:$AH,10,0),RANK_TABLE,3,0))</f>
        <v/>
      </c>
      <c r="H34" s="247" t="str">
        <f>IF(VLOOKUP($A34,'Scoring Inputs'!$A:$AH,12,0)="","",$H$9*VLOOKUP(VLOOKUP($A34,'Scoring Inputs'!$A:$AH,12,0),RANK_TABLE,3,0))</f>
        <v/>
      </c>
      <c r="J34" s="255" t="str">
        <f>IF(VLOOKUP($A34,'Scoring Inputs'!$A:$AH,14,0)="","",$J$9*VLOOKUP(VLOOKUP($A34,'Scoring Inputs'!$A:$AH,14,0),RANK_TABLE,3,0))</f>
        <v/>
      </c>
      <c r="K34" s="15" t="str">
        <f>IF(VLOOKUP($A34,'Scoring Inputs'!$A:$AH,18,0)="","",$K$9*VLOOKUP(VLOOKUP($A34,'Scoring Inputs'!$A:$AH,18,0),RANK_TABLE,3,0))</f>
        <v/>
      </c>
      <c r="L34" s="140" t="str">
        <f>IF(VLOOKUP($A34,'Scoring Inputs'!$A:$AI,35,0)="","",L$9)</f>
        <v/>
      </c>
      <c r="M34" s="140" t="str">
        <f>IF(VLOOKUP($A34,'Scoring Inputs'!$A:$AH,6,0)="","",ROUND(VLOOKUP($A34,'Scoring Inputs'!$A:$AH,6,0)*M$9,0))</f>
        <v/>
      </c>
      <c r="N34" s="252" t="str">
        <f>IF(VLOOKUP($A34,'Scoring Inputs'!$A:$AH,16,0)="","",$N$9*VLOOKUP(VLOOKUP($A34,'Scoring Inputs'!$A:$AH,16,0),RANK_TABLE,3,0))</f>
        <v/>
      </c>
      <c r="O34" s="15" t="str">
        <f>IF(VLOOKUP($A34,'Scoring Inputs'!$A:$AH,20,0)="","",$O$9*VLOOKUP(VLOOKUP($A34,'Scoring Inputs'!$A:$AH,20,0),RANK_TABLE,3,0))</f>
        <v/>
      </c>
      <c r="P34" s="140" t="str">
        <f>IF(VLOOKUP($A34,'Scoring Inputs'!$A:$AH,23,0)="","",$P$9*VLOOKUP(VLOOKUP($A34,'Scoring Inputs'!$A:$AH,23,0),RANK_TABLE,3,0))</f>
        <v/>
      </c>
      <c r="Q34" s="204"/>
      <c r="R34" s="209">
        <f>IF(VLOOKUP($A34,'Scoring Inputs'!$A:$BF,28,0)="","",$R$9*VLOOKUP($A34,'Scoring Inputs'!$A:$BF,28,0))</f>
        <v>0</v>
      </c>
      <c r="T34" s="148">
        <f t="shared" si="6"/>
        <v>0</v>
      </c>
      <c r="U34" s="185">
        <f t="shared" si="7"/>
        <v>0</v>
      </c>
      <c r="W34" s="148"/>
      <c r="Y34" s="147">
        <v>0</v>
      </c>
      <c r="AB34" s="165" t="str">
        <f>IF($Y34&lt;&gt;0,'Cost &amp; Benefit Inputs'!G31*$Y34,"")</f>
        <v/>
      </c>
      <c r="AC34" s="166" t="str">
        <f>IF($Y34&lt;&gt;0,'Cost &amp; Benefit Inputs'!I31*$Y34,"")</f>
        <v/>
      </c>
      <c r="AD34" s="166" t="str">
        <f>IF($Y34&lt;&gt;0,'Cost &amp; Benefit Inputs'!K31*$Y34,"")</f>
        <v/>
      </c>
      <c r="AE34" s="166" t="str">
        <f>IF($Y34&lt;&gt;0,'Cost &amp; Benefit Inputs'!L31*$Y34,"")</f>
        <v/>
      </c>
      <c r="AF34" s="166" t="str">
        <f>IF($Y34&lt;&gt;0,'Cost &amp; Benefit Inputs'!M31*$Y34,"")</f>
        <v/>
      </c>
      <c r="AG34" s="166" t="str">
        <f>IF($Y34&lt;&gt;0,'Cost &amp; Benefit Inputs'!N31*$Y34,"")</f>
        <v/>
      </c>
      <c r="AH34" s="166" t="str">
        <f>IF($Y34&lt;&gt;0,'Cost &amp; Benefit Inputs'!O31*$Y34,"")</f>
        <v/>
      </c>
      <c r="AI34" s="166" t="str">
        <f>IF($Y34&lt;&gt;0,'Cost &amp; Benefit Inputs'!P31*$Y34,"")</f>
        <v/>
      </c>
      <c r="AJ34" s="167" t="str">
        <f>IF($Y34&lt;&gt;0,'Cost &amp; Benefit Inputs'!Q31,"")</f>
        <v/>
      </c>
      <c r="AL34" s="166" t="str">
        <f>IF($Y34,'Cost &amp; Benefit Inputs'!U31,"")</f>
        <v/>
      </c>
      <c r="AM34" s="166" t="str">
        <f>IF($Y34,'Cost &amp; Benefit Inputs'!V31,"")</f>
        <v/>
      </c>
      <c r="AN34" s="166" t="str">
        <f>IF($Y34,'Cost &amp; Benefit Inputs'!W31,"")</f>
        <v/>
      </c>
      <c r="AO34" s="166" t="str">
        <f>IF($Y34,'Cost &amp; Benefit Inputs'!X31,"")</f>
        <v/>
      </c>
      <c r="AP34" s="166" t="str">
        <f>IF($Y34,'Cost &amp; Benefit Inputs'!Y31,"")</f>
        <v/>
      </c>
      <c r="AQ34" s="166" t="str">
        <f>IF($Y34,'Cost &amp; Benefit Inputs'!Z31,"")</f>
        <v/>
      </c>
      <c r="AR34" s="31"/>
      <c r="AS34" s="166" t="str">
        <f>IF($Y34&lt;&gt;0,'Cost &amp; Benefit Inputs'!AB31*$Y34,"")</f>
        <v/>
      </c>
      <c r="AT34" s="166" t="str">
        <f>IF($Y34&lt;&gt;0,'Cost &amp; Benefit Inputs'!AC31*$Y34,"")</f>
        <v/>
      </c>
      <c r="AU34" s="165"/>
      <c r="AV34" s="166" t="str">
        <f>IF($Y34&lt;&gt;0,'Cost &amp; Benefit Inputs'!AE31*$Y34,"")</f>
        <v/>
      </c>
      <c r="AW34" s="166" t="str">
        <f>IF($Y34&lt;&gt;0,'Cost &amp; Benefit Inputs'!AF31*$Y34,"")</f>
        <v/>
      </c>
      <c r="AX34" s="166" t="str">
        <f>IF($Y34&lt;&gt;0,'Cost &amp; Benefit Inputs'!AG31*$Y34,"")</f>
        <v/>
      </c>
      <c r="AY34" s="31"/>
      <c r="AZ34" s="166" t="str">
        <f>IF($Y34&lt;&gt;0,'Cost &amp; Benefit Inputs'!AI31*$Y34,"")</f>
        <v/>
      </c>
      <c r="BA34" s="166" t="str">
        <f>IF($Y34&lt;&gt;0,'Cost &amp; Benefit Inputs'!AJ31*$Y34,"")</f>
        <v/>
      </c>
      <c r="BB34" s="166" t="str">
        <f>IF($Y34&lt;&gt;0,'Cost &amp; Benefit Inputs'!AK31*$Y34,"")</f>
        <v/>
      </c>
      <c r="BC34" s="166" t="str">
        <f>IF($Y34&lt;&gt;0,'Cost &amp; Benefit Inputs'!AL31*$Y34,"")</f>
        <v/>
      </c>
      <c r="BD34" s="173" t="str">
        <f>IF($Y34&lt;&gt;0,'Cost &amp; Benefit Inputs'!AM31,"")</f>
        <v/>
      </c>
    </row>
    <row r="35" spans="1:56" x14ac:dyDescent="0.2">
      <c r="A35" s="128" t="s">
        <v>132</v>
      </c>
      <c r="B35" s="129">
        <f>VLOOKUP($A35,'Scoring Inputs'!$A:$AH,2,0)</f>
        <v>0</v>
      </c>
      <c r="C35" s="129">
        <f>VLOOKUP($A35,'Scoring Inputs'!$A:$AH,3,0)</f>
        <v>0</v>
      </c>
      <c r="E35" s="198" t="str">
        <f>IF(ISBLANK(VLOOKUP($A35,'Scoring Inputs'!$A:$AH,4,0)),"",VLOOKUP($A35,'Scoring Inputs'!$A:$AH,4,0))</f>
        <v/>
      </c>
      <c r="G35" s="14" t="str">
        <f>IF(VLOOKUP($A35,'Scoring Inputs'!$A:$AH,10,0)="","",G$9*VLOOKUP(VLOOKUP($A35,'Scoring Inputs'!$A:$AH,10,0),RANK_TABLE,3,0))</f>
        <v/>
      </c>
      <c r="H35" s="247" t="str">
        <f>IF(VLOOKUP($A35,'Scoring Inputs'!$A:$AH,12,0)="","",$H$9*VLOOKUP(VLOOKUP($A35,'Scoring Inputs'!$A:$AH,12,0),RANK_TABLE,3,0))</f>
        <v/>
      </c>
      <c r="J35" s="255" t="str">
        <f>IF(VLOOKUP($A35,'Scoring Inputs'!$A:$AH,14,0)="","",$J$9*VLOOKUP(VLOOKUP($A35,'Scoring Inputs'!$A:$AH,14,0),RANK_TABLE,3,0))</f>
        <v/>
      </c>
      <c r="K35" s="15" t="str">
        <f>IF(VLOOKUP($A35,'Scoring Inputs'!$A:$AH,18,0)="","",$K$9*VLOOKUP(VLOOKUP($A35,'Scoring Inputs'!$A:$AH,18,0),RANK_TABLE,3,0))</f>
        <v/>
      </c>
      <c r="L35" s="140" t="str">
        <f>IF(VLOOKUP($A35,'Scoring Inputs'!$A:$AI,35,0)="","",L$9)</f>
        <v/>
      </c>
      <c r="M35" s="140" t="str">
        <f>IF(VLOOKUP($A35,'Scoring Inputs'!$A:$AH,6,0)="","",ROUND(VLOOKUP($A35,'Scoring Inputs'!$A:$AH,6,0)*M$9,0))</f>
        <v/>
      </c>
      <c r="N35" s="252" t="str">
        <f>IF(VLOOKUP($A35,'Scoring Inputs'!$A:$AH,16,0)="","",$N$9*VLOOKUP(VLOOKUP($A35,'Scoring Inputs'!$A:$AH,16,0),RANK_TABLE,3,0))</f>
        <v/>
      </c>
      <c r="O35" s="15" t="str">
        <f>IF(VLOOKUP($A35,'Scoring Inputs'!$A:$AH,20,0)="","",$O$9*VLOOKUP(VLOOKUP($A35,'Scoring Inputs'!$A:$AH,20,0),RANK_TABLE,3,0))</f>
        <v/>
      </c>
      <c r="P35" s="140" t="str">
        <f>IF(VLOOKUP($A35,'Scoring Inputs'!$A:$AH,23,0)="","",$P$9*VLOOKUP(VLOOKUP($A35,'Scoring Inputs'!$A:$AH,23,0),RANK_TABLE,3,0))</f>
        <v/>
      </c>
      <c r="Q35" s="204"/>
      <c r="R35" s="209">
        <f>IF(VLOOKUP($A35,'Scoring Inputs'!$A:$BF,28,0)="","",$R$9*VLOOKUP($A35,'Scoring Inputs'!$A:$BF,28,0))</f>
        <v>0</v>
      </c>
      <c r="T35" s="148">
        <f t="shared" si="6"/>
        <v>0</v>
      </c>
      <c r="U35" s="185">
        <f t="shared" si="7"/>
        <v>0</v>
      </c>
      <c r="W35" s="148"/>
      <c r="Y35" s="147">
        <v>0</v>
      </c>
      <c r="AB35" s="165" t="str">
        <f>IF($Y35&lt;&gt;0,'Cost &amp; Benefit Inputs'!G32*$Y35,"")</f>
        <v/>
      </c>
      <c r="AC35" s="166" t="str">
        <f>IF($Y35&lt;&gt;0,'Cost &amp; Benefit Inputs'!I32*$Y35,"")</f>
        <v/>
      </c>
      <c r="AD35" s="166" t="str">
        <f>IF($Y35&lt;&gt;0,'Cost &amp; Benefit Inputs'!K32*$Y35,"")</f>
        <v/>
      </c>
      <c r="AE35" s="166" t="str">
        <f>IF($Y35&lt;&gt;0,'Cost &amp; Benefit Inputs'!L32*$Y35,"")</f>
        <v/>
      </c>
      <c r="AF35" s="166" t="str">
        <f>IF($Y35&lt;&gt;0,'Cost &amp; Benefit Inputs'!M32*$Y35,"")</f>
        <v/>
      </c>
      <c r="AG35" s="166" t="str">
        <f>IF($Y35&lt;&gt;0,'Cost &amp; Benefit Inputs'!N32*$Y35,"")</f>
        <v/>
      </c>
      <c r="AH35" s="166" t="str">
        <f>IF($Y35&lt;&gt;0,'Cost &amp; Benefit Inputs'!O32*$Y35,"")</f>
        <v/>
      </c>
      <c r="AI35" s="166" t="str">
        <f>IF($Y35&lt;&gt;0,'Cost &amp; Benefit Inputs'!P32*$Y35,"")</f>
        <v/>
      </c>
      <c r="AJ35" s="167" t="str">
        <f>IF($Y35&lt;&gt;0,'Cost &amp; Benefit Inputs'!Q32,"")</f>
        <v/>
      </c>
      <c r="AL35" s="166" t="str">
        <f>IF($Y35,'Cost &amp; Benefit Inputs'!U32,"")</f>
        <v/>
      </c>
      <c r="AM35" s="166" t="str">
        <f>IF($Y35,'Cost &amp; Benefit Inputs'!V32,"")</f>
        <v/>
      </c>
      <c r="AN35" s="166" t="str">
        <f>IF($Y35,'Cost &amp; Benefit Inputs'!W32,"")</f>
        <v/>
      </c>
      <c r="AO35" s="166" t="str">
        <f>IF($Y35,'Cost &amp; Benefit Inputs'!X32,"")</f>
        <v/>
      </c>
      <c r="AP35" s="166" t="str">
        <f>IF($Y35,'Cost &amp; Benefit Inputs'!Y32,"")</f>
        <v/>
      </c>
      <c r="AQ35" s="166" t="str">
        <f>IF($Y35,'Cost &amp; Benefit Inputs'!Z32,"")</f>
        <v/>
      </c>
      <c r="AR35" s="31"/>
      <c r="AS35" s="166" t="str">
        <f>IF($Y35&lt;&gt;0,'Cost &amp; Benefit Inputs'!AB32*$Y35,"")</f>
        <v/>
      </c>
      <c r="AT35" s="166" t="str">
        <f>IF($Y35&lt;&gt;0,'Cost &amp; Benefit Inputs'!AC32*$Y35,"")</f>
        <v/>
      </c>
      <c r="AU35" s="165"/>
      <c r="AV35" s="166" t="str">
        <f>IF($Y35&lt;&gt;0,'Cost &amp; Benefit Inputs'!AE32*$Y35,"")</f>
        <v/>
      </c>
      <c r="AW35" s="166" t="str">
        <f>IF($Y35&lt;&gt;0,'Cost &amp; Benefit Inputs'!AF32*$Y35,"")</f>
        <v/>
      </c>
      <c r="AX35" s="166" t="str">
        <f>IF($Y35&lt;&gt;0,'Cost &amp; Benefit Inputs'!AG32*$Y35,"")</f>
        <v/>
      </c>
      <c r="AY35" s="31"/>
      <c r="AZ35" s="166" t="str">
        <f>IF($Y35&lt;&gt;0,'Cost &amp; Benefit Inputs'!AI32*$Y35,"")</f>
        <v/>
      </c>
      <c r="BA35" s="166" t="str">
        <f>IF($Y35&lt;&gt;0,'Cost &amp; Benefit Inputs'!AJ32*$Y35,"")</f>
        <v/>
      </c>
      <c r="BB35" s="166" t="str">
        <f>IF($Y35&lt;&gt;0,'Cost &amp; Benefit Inputs'!AK32*$Y35,"")</f>
        <v/>
      </c>
      <c r="BC35" s="166" t="str">
        <f>IF($Y35&lt;&gt;0,'Cost &amp; Benefit Inputs'!AL32*$Y35,"")</f>
        <v/>
      </c>
      <c r="BD35" s="173" t="str">
        <f>IF($Y35&lt;&gt;0,'Cost &amp; Benefit Inputs'!AM32,"")</f>
        <v/>
      </c>
    </row>
    <row r="36" spans="1:56" x14ac:dyDescent="0.2">
      <c r="A36" s="128" t="s">
        <v>133</v>
      </c>
      <c r="B36" s="129">
        <f>VLOOKUP($A36,'Scoring Inputs'!$A:$AH,2,0)</f>
        <v>0</v>
      </c>
      <c r="C36" s="129">
        <f>VLOOKUP($A36,'Scoring Inputs'!$A:$AH,3,0)</f>
        <v>0</v>
      </c>
      <c r="E36" s="198" t="str">
        <f>IF(ISBLANK(VLOOKUP($A36,'Scoring Inputs'!$A:$AH,4,0)),"",VLOOKUP($A36,'Scoring Inputs'!$A:$AH,4,0))</f>
        <v/>
      </c>
      <c r="G36" s="14" t="str">
        <f>IF(VLOOKUP($A36,'Scoring Inputs'!$A:$AH,10,0)="","",G$9*VLOOKUP(VLOOKUP($A36,'Scoring Inputs'!$A:$AH,10,0),RANK_TABLE,3,0))</f>
        <v/>
      </c>
      <c r="H36" s="247" t="str">
        <f>IF(VLOOKUP($A36,'Scoring Inputs'!$A:$AH,12,0)="","",$H$9*VLOOKUP(VLOOKUP($A36,'Scoring Inputs'!$A:$AH,12,0),RANK_TABLE,3,0))</f>
        <v/>
      </c>
      <c r="J36" s="255" t="str">
        <f>IF(VLOOKUP($A36,'Scoring Inputs'!$A:$AH,14,0)="","",$J$9*VLOOKUP(VLOOKUP($A36,'Scoring Inputs'!$A:$AH,14,0),RANK_TABLE,3,0))</f>
        <v/>
      </c>
      <c r="K36" s="15" t="str">
        <f>IF(VLOOKUP($A36,'Scoring Inputs'!$A:$AH,18,0)="","",$K$9*VLOOKUP(VLOOKUP($A36,'Scoring Inputs'!$A:$AH,18,0),RANK_TABLE,3,0))</f>
        <v/>
      </c>
      <c r="L36" s="140" t="str">
        <f>IF(VLOOKUP($A36,'Scoring Inputs'!$A:$AI,35,0)="","",L$9)</f>
        <v/>
      </c>
      <c r="M36" s="140" t="str">
        <f>IF(VLOOKUP($A36,'Scoring Inputs'!$A:$AH,6,0)="","",ROUND(VLOOKUP($A36,'Scoring Inputs'!$A:$AH,6,0)*M$9,0))</f>
        <v/>
      </c>
      <c r="N36" s="252" t="str">
        <f>IF(VLOOKUP($A36,'Scoring Inputs'!$A:$AH,16,0)="","",$N$9*VLOOKUP(VLOOKUP($A36,'Scoring Inputs'!$A:$AH,16,0),RANK_TABLE,3,0))</f>
        <v/>
      </c>
      <c r="O36" s="15" t="str">
        <f>IF(VLOOKUP($A36,'Scoring Inputs'!$A:$AH,20,0)="","",$O$9*VLOOKUP(VLOOKUP($A36,'Scoring Inputs'!$A:$AH,20,0),RANK_TABLE,3,0))</f>
        <v/>
      </c>
      <c r="P36" s="140" t="str">
        <f>IF(VLOOKUP($A36,'Scoring Inputs'!$A:$AH,23,0)="","",$P$9*VLOOKUP(VLOOKUP($A36,'Scoring Inputs'!$A:$AH,23,0),RANK_TABLE,3,0))</f>
        <v/>
      </c>
      <c r="Q36" s="204"/>
      <c r="R36" s="209">
        <f>IF(VLOOKUP($A36,'Scoring Inputs'!$A:$BF,28,0)="","",$R$9*VLOOKUP($A36,'Scoring Inputs'!$A:$BF,28,0))</f>
        <v>0</v>
      </c>
      <c r="T36" s="148">
        <f t="shared" si="6"/>
        <v>0</v>
      </c>
      <c r="U36" s="185">
        <f t="shared" si="7"/>
        <v>0</v>
      </c>
      <c r="W36" s="148"/>
      <c r="Y36" s="147">
        <v>0</v>
      </c>
      <c r="AB36" s="165" t="str">
        <f>IF($Y36&lt;&gt;0,'Cost &amp; Benefit Inputs'!G33*$Y36,"")</f>
        <v/>
      </c>
      <c r="AC36" s="166" t="str">
        <f>IF($Y36&lt;&gt;0,'Cost &amp; Benefit Inputs'!I33*$Y36,"")</f>
        <v/>
      </c>
      <c r="AD36" s="166" t="str">
        <f>IF($Y36&lt;&gt;0,'Cost &amp; Benefit Inputs'!K33*$Y36,"")</f>
        <v/>
      </c>
      <c r="AE36" s="166" t="str">
        <f>IF($Y36&lt;&gt;0,'Cost &amp; Benefit Inputs'!L33*$Y36,"")</f>
        <v/>
      </c>
      <c r="AF36" s="166" t="str">
        <f>IF($Y36&lt;&gt;0,'Cost &amp; Benefit Inputs'!M33*$Y36,"")</f>
        <v/>
      </c>
      <c r="AG36" s="166" t="str">
        <f>IF($Y36&lt;&gt;0,'Cost &amp; Benefit Inputs'!N33*$Y36,"")</f>
        <v/>
      </c>
      <c r="AH36" s="166" t="str">
        <f>IF($Y36&lt;&gt;0,'Cost &amp; Benefit Inputs'!O33*$Y36,"")</f>
        <v/>
      </c>
      <c r="AI36" s="166" t="str">
        <f>IF($Y36&lt;&gt;0,'Cost &amp; Benefit Inputs'!P33*$Y36,"")</f>
        <v/>
      </c>
      <c r="AJ36" s="167" t="str">
        <f>IF($Y36&lt;&gt;0,'Cost &amp; Benefit Inputs'!Q33,"")</f>
        <v/>
      </c>
      <c r="AL36" s="166" t="str">
        <f>IF($Y36,'Cost &amp; Benefit Inputs'!U33,"")</f>
        <v/>
      </c>
      <c r="AM36" s="166" t="str">
        <f>IF($Y36,'Cost &amp; Benefit Inputs'!V33,"")</f>
        <v/>
      </c>
      <c r="AN36" s="166" t="str">
        <f>IF($Y36,'Cost &amp; Benefit Inputs'!W33,"")</f>
        <v/>
      </c>
      <c r="AO36" s="166" t="str">
        <f>IF($Y36,'Cost &amp; Benefit Inputs'!X33,"")</f>
        <v/>
      </c>
      <c r="AP36" s="166" t="str">
        <f>IF($Y36,'Cost &amp; Benefit Inputs'!Y33,"")</f>
        <v/>
      </c>
      <c r="AQ36" s="166" t="str">
        <f>IF($Y36,'Cost &amp; Benefit Inputs'!Z33,"")</f>
        <v/>
      </c>
      <c r="AR36" s="31"/>
      <c r="AS36" s="166" t="str">
        <f>IF($Y36&lt;&gt;0,'Cost &amp; Benefit Inputs'!AB33*$Y36,"")</f>
        <v/>
      </c>
      <c r="AT36" s="166" t="str">
        <f>IF($Y36&lt;&gt;0,'Cost &amp; Benefit Inputs'!AC33*$Y36,"")</f>
        <v/>
      </c>
      <c r="AU36" s="165"/>
      <c r="AV36" s="166" t="str">
        <f>IF($Y36&lt;&gt;0,'Cost &amp; Benefit Inputs'!AE33*$Y36,"")</f>
        <v/>
      </c>
      <c r="AW36" s="166" t="str">
        <f>IF($Y36&lt;&gt;0,'Cost &amp; Benefit Inputs'!AF33*$Y36,"")</f>
        <v/>
      </c>
      <c r="AX36" s="166" t="str">
        <f>IF($Y36&lt;&gt;0,'Cost &amp; Benefit Inputs'!AG33*$Y36,"")</f>
        <v/>
      </c>
      <c r="AY36" s="31"/>
      <c r="AZ36" s="166" t="str">
        <f>IF($Y36&lt;&gt;0,'Cost &amp; Benefit Inputs'!AI33*$Y36,"")</f>
        <v/>
      </c>
      <c r="BA36" s="166" t="str">
        <f>IF($Y36&lt;&gt;0,'Cost &amp; Benefit Inputs'!AJ33*$Y36,"")</f>
        <v/>
      </c>
      <c r="BB36" s="166" t="str">
        <f>IF($Y36&lt;&gt;0,'Cost &amp; Benefit Inputs'!AK33*$Y36,"")</f>
        <v/>
      </c>
      <c r="BC36" s="166" t="str">
        <f>IF($Y36&lt;&gt;0,'Cost &amp; Benefit Inputs'!AL33*$Y36,"")</f>
        <v/>
      </c>
      <c r="BD36" s="173" t="str">
        <f>IF($Y36&lt;&gt;0,'Cost &amp; Benefit Inputs'!AM33,"")</f>
        <v/>
      </c>
    </row>
    <row r="37" spans="1:56" x14ac:dyDescent="0.2">
      <c r="A37" s="128" t="s">
        <v>134</v>
      </c>
      <c r="B37" s="129">
        <f>VLOOKUP($A37,'Scoring Inputs'!$A:$AH,2,0)</f>
        <v>0</v>
      </c>
      <c r="C37" s="129">
        <f>VLOOKUP($A37,'Scoring Inputs'!$A:$AH,3,0)</f>
        <v>0</v>
      </c>
      <c r="E37" s="198" t="str">
        <f>IF(ISBLANK(VLOOKUP($A37,'Scoring Inputs'!$A:$AH,4,0)),"",VLOOKUP($A37,'Scoring Inputs'!$A:$AH,4,0))</f>
        <v/>
      </c>
      <c r="G37" s="14" t="str">
        <f>IF(VLOOKUP($A37,'Scoring Inputs'!$A:$AH,10,0)="","",G$9*VLOOKUP(VLOOKUP($A37,'Scoring Inputs'!$A:$AH,10,0),RANK_TABLE,3,0))</f>
        <v/>
      </c>
      <c r="H37" s="247" t="str">
        <f>IF(VLOOKUP($A37,'Scoring Inputs'!$A:$AH,12,0)="","",$H$9*VLOOKUP(VLOOKUP($A37,'Scoring Inputs'!$A:$AH,12,0),RANK_TABLE,3,0))</f>
        <v/>
      </c>
      <c r="J37" s="255" t="str">
        <f>IF(VLOOKUP($A37,'Scoring Inputs'!$A:$AH,14,0)="","",$J$9*VLOOKUP(VLOOKUP($A37,'Scoring Inputs'!$A:$AH,14,0),RANK_TABLE,3,0))</f>
        <v/>
      </c>
      <c r="K37" s="15" t="str">
        <f>IF(VLOOKUP($A37,'Scoring Inputs'!$A:$AH,18,0)="","",$K$9*VLOOKUP(VLOOKUP($A37,'Scoring Inputs'!$A:$AH,18,0),RANK_TABLE,3,0))</f>
        <v/>
      </c>
      <c r="L37" s="140" t="str">
        <f>IF(VLOOKUP($A37,'Scoring Inputs'!$A:$AI,35,0)="","",L$9)</f>
        <v/>
      </c>
      <c r="M37" s="140" t="str">
        <f>IF(VLOOKUP($A37,'Scoring Inputs'!$A:$AH,6,0)="","",ROUND(VLOOKUP($A37,'Scoring Inputs'!$A:$AH,6,0)*M$9,0))</f>
        <v/>
      </c>
      <c r="N37" s="252" t="str">
        <f>IF(VLOOKUP($A37,'Scoring Inputs'!$A:$AH,16,0)="","",$N$9*VLOOKUP(VLOOKUP($A37,'Scoring Inputs'!$A:$AH,16,0),RANK_TABLE,3,0))</f>
        <v/>
      </c>
      <c r="O37" s="15" t="str">
        <f>IF(VLOOKUP($A37,'Scoring Inputs'!$A:$AH,20,0)="","",$O$9*VLOOKUP(VLOOKUP($A37,'Scoring Inputs'!$A:$AH,20,0),RANK_TABLE,3,0))</f>
        <v/>
      </c>
      <c r="P37" s="140" t="str">
        <f>IF(VLOOKUP($A37,'Scoring Inputs'!$A:$AH,23,0)="","",$P$9*VLOOKUP(VLOOKUP($A37,'Scoring Inputs'!$A:$AH,23,0),RANK_TABLE,3,0))</f>
        <v/>
      </c>
      <c r="Q37" s="204"/>
      <c r="R37" s="209">
        <f>IF(VLOOKUP($A37,'Scoring Inputs'!$A:$BF,28,0)="","",$R$9*VLOOKUP($A37,'Scoring Inputs'!$A:$BF,28,0))</f>
        <v>0</v>
      </c>
      <c r="T37" s="148">
        <f t="shared" si="6"/>
        <v>0</v>
      </c>
      <c r="U37" s="185">
        <f t="shared" si="7"/>
        <v>0</v>
      </c>
      <c r="W37" s="148"/>
      <c r="Y37" s="147">
        <v>0</v>
      </c>
      <c r="AB37" s="165" t="str">
        <f>IF($Y37&lt;&gt;0,'Cost &amp; Benefit Inputs'!G34*$Y37,"")</f>
        <v/>
      </c>
      <c r="AC37" s="166" t="str">
        <f>IF($Y37&lt;&gt;0,'Cost &amp; Benefit Inputs'!I34*$Y37,"")</f>
        <v/>
      </c>
      <c r="AD37" s="166" t="str">
        <f>IF($Y37&lt;&gt;0,'Cost &amp; Benefit Inputs'!K34*$Y37,"")</f>
        <v/>
      </c>
      <c r="AE37" s="166" t="str">
        <f>IF($Y37&lt;&gt;0,'Cost &amp; Benefit Inputs'!L34*$Y37,"")</f>
        <v/>
      </c>
      <c r="AF37" s="166" t="str">
        <f>IF($Y37&lt;&gt;0,'Cost &amp; Benefit Inputs'!M34*$Y37,"")</f>
        <v/>
      </c>
      <c r="AG37" s="166" t="str">
        <f>IF($Y37&lt;&gt;0,'Cost &amp; Benefit Inputs'!N34*$Y37,"")</f>
        <v/>
      </c>
      <c r="AH37" s="166" t="str">
        <f>IF($Y37&lt;&gt;0,'Cost &amp; Benefit Inputs'!O34*$Y37,"")</f>
        <v/>
      </c>
      <c r="AI37" s="166" t="str">
        <f>IF($Y37&lt;&gt;0,'Cost &amp; Benefit Inputs'!P34*$Y37,"")</f>
        <v/>
      </c>
      <c r="AJ37" s="167" t="str">
        <f>IF($Y37&lt;&gt;0,'Cost &amp; Benefit Inputs'!Q34,"")</f>
        <v/>
      </c>
      <c r="AL37" s="166" t="str">
        <f>IF($Y37,'Cost &amp; Benefit Inputs'!U34,"")</f>
        <v/>
      </c>
      <c r="AM37" s="166" t="str">
        <f>IF($Y37,'Cost &amp; Benefit Inputs'!V34,"")</f>
        <v/>
      </c>
      <c r="AN37" s="166" t="str">
        <f>IF($Y37,'Cost &amp; Benefit Inputs'!W34,"")</f>
        <v/>
      </c>
      <c r="AO37" s="166" t="str">
        <f>IF($Y37,'Cost &amp; Benefit Inputs'!X34,"")</f>
        <v/>
      </c>
      <c r="AP37" s="166" t="str">
        <f>IF($Y37,'Cost &amp; Benefit Inputs'!Y34,"")</f>
        <v/>
      </c>
      <c r="AQ37" s="166" t="str">
        <f>IF($Y37,'Cost &amp; Benefit Inputs'!Z34,"")</f>
        <v/>
      </c>
      <c r="AR37" s="31"/>
      <c r="AS37" s="166" t="str">
        <f>IF($Y37&lt;&gt;0,'Cost &amp; Benefit Inputs'!AB34*$Y37,"")</f>
        <v/>
      </c>
      <c r="AT37" s="166" t="str">
        <f>IF($Y37&lt;&gt;0,'Cost &amp; Benefit Inputs'!AC34*$Y37,"")</f>
        <v/>
      </c>
      <c r="AU37" s="165"/>
      <c r="AV37" s="166" t="str">
        <f>IF($Y37&lt;&gt;0,'Cost &amp; Benefit Inputs'!AE34*$Y37,"")</f>
        <v/>
      </c>
      <c r="AW37" s="166" t="str">
        <f>IF($Y37&lt;&gt;0,'Cost &amp; Benefit Inputs'!AF34*$Y37,"")</f>
        <v/>
      </c>
      <c r="AX37" s="166" t="str">
        <f>IF($Y37&lt;&gt;0,'Cost &amp; Benefit Inputs'!AG34*$Y37,"")</f>
        <v/>
      </c>
      <c r="AY37" s="31"/>
      <c r="AZ37" s="166" t="str">
        <f>IF($Y37&lt;&gt;0,'Cost &amp; Benefit Inputs'!AI34*$Y37,"")</f>
        <v/>
      </c>
      <c r="BA37" s="166" t="str">
        <f>IF($Y37&lt;&gt;0,'Cost &amp; Benefit Inputs'!AJ34*$Y37,"")</f>
        <v/>
      </c>
      <c r="BB37" s="166" t="str">
        <f>IF($Y37&lt;&gt;0,'Cost &amp; Benefit Inputs'!AK34*$Y37,"")</f>
        <v/>
      </c>
      <c r="BC37" s="166" t="str">
        <f>IF($Y37&lt;&gt;0,'Cost &amp; Benefit Inputs'!AL34*$Y37,"")</f>
        <v/>
      </c>
      <c r="BD37" s="173" t="str">
        <f>IF($Y37&lt;&gt;0,'Cost &amp; Benefit Inputs'!AM34,"")</f>
        <v/>
      </c>
    </row>
    <row r="38" spans="1:56" x14ac:dyDescent="0.2">
      <c r="A38" s="128" t="s">
        <v>135</v>
      </c>
      <c r="B38" s="129">
        <f>VLOOKUP($A38,'Scoring Inputs'!$A:$AH,2,0)</f>
        <v>0</v>
      </c>
      <c r="C38" s="129">
        <f>VLOOKUP($A38,'Scoring Inputs'!$A:$AH,3,0)</f>
        <v>0</v>
      </c>
      <c r="E38" s="198" t="str">
        <f>IF(ISBLANK(VLOOKUP($A38,'Scoring Inputs'!$A:$AH,4,0)),"",VLOOKUP($A38,'Scoring Inputs'!$A:$AH,4,0))</f>
        <v/>
      </c>
      <c r="G38" s="14" t="str">
        <f>IF(VLOOKUP($A38,'Scoring Inputs'!$A:$AH,10,0)="","",G$9*VLOOKUP(VLOOKUP($A38,'Scoring Inputs'!$A:$AH,10,0),RANK_TABLE,3,0))</f>
        <v/>
      </c>
      <c r="H38" s="247" t="str">
        <f>IF(VLOOKUP($A38,'Scoring Inputs'!$A:$AH,12,0)="","",$H$9*VLOOKUP(VLOOKUP($A38,'Scoring Inputs'!$A:$AH,12,0),RANK_TABLE,3,0))</f>
        <v/>
      </c>
      <c r="J38" s="255" t="str">
        <f>IF(VLOOKUP($A38,'Scoring Inputs'!$A:$AH,14,0)="","",$J$9*VLOOKUP(VLOOKUP($A38,'Scoring Inputs'!$A:$AH,14,0),RANK_TABLE,3,0))</f>
        <v/>
      </c>
      <c r="K38" s="15" t="str">
        <f>IF(VLOOKUP($A38,'Scoring Inputs'!$A:$AH,18,0)="","",$K$9*VLOOKUP(VLOOKUP($A38,'Scoring Inputs'!$A:$AH,18,0),RANK_TABLE,3,0))</f>
        <v/>
      </c>
      <c r="L38" s="140" t="str">
        <f>IF(VLOOKUP($A38,'Scoring Inputs'!$A:$AI,35,0)="","",L$9)</f>
        <v/>
      </c>
      <c r="M38" s="140" t="str">
        <f>IF(VLOOKUP($A38,'Scoring Inputs'!$A:$AH,6,0)="","",ROUND(VLOOKUP($A38,'Scoring Inputs'!$A:$AH,6,0)*M$9,0))</f>
        <v/>
      </c>
      <c r="N38" s="252" t="str">
        <f>IF(VLOOKUP($A38,'Scoring Inputs'!$A:$AH,16,0)="","",$N$9*VLOOKUP(VLOOKUP($A38,'Scoring Inputs'!$A:$AH,16,0),RANK_TABLE,3,0))</f>
        <v/>
      </c>
      <c r="O38" s="15" t="str">
        <f>IF(VLOOKUP($A38,'Scoring Inputs'!$A:$AH,20,0)="","",$O$9*VLOOKUP(VLOOKUP($A38,'Scoring Inputs'!$A:$AH,20,0),RANK_TABLE,3,0))</f>
        <v/>
      </c>
      <c r="P38" s="140" t="str">
        <f>IF(VLOOKUP($A38,'Scoring Inputs'!$A:$AH,23,0)="","",$P$9*VLOOKUP(VLOOKUP($A38,'Scoring Inputs'!$A:$AH,23,0),RANK_TABLE,3,0))</f>
        <v/>
      </c>
      <c r="Q38" s="204"/>
      <c r="R38" s="209">
        <f>IF(VLOOKUP($A38,'Scoring Inputs'!$A:$BF,28,0)="","",$R$9*VLOOKUP($A38,'Scoring Inputs'!$A:$BF,28,0))</f>
        <v>0</v>
      </c>
      <c r="T38" s="148">
        <f t="shared" si="6"/>
        <v>0</v>
      </c>
      <c r="U38" s="185">
        <f t="shared" si="7"/>
        <v>0</v>
      </c>
      <c r="W38" s="148"/>
      <c r="Y38" s="147">
        <v>0</v>
      </c>
      <c r="AB38" s="165" t="str">
        <f>IF($Y38&lt;&gt;0,'Cost &amp; Benefit Inputs'!G35*$Y38,"")</f>
        <v/>
      </c>
      <c r="AC38" s="166" t="str">
        <f>IF($Y38&lt;&gt;0,'Cost &amp; Benefit Inputs'!I35*$Y38,"")</f>
        <v/>
      </c>
      <c r="AD38" s="166" t="str">
        <f>IF($Y38&lt;&gt;0,'Cost &amp; Benefit Inputs'!K35*$Y38,"")</f>
        <v/>
      </c>
      <c r="AE38" s="166" t="str">
        <f>IF($Y38&lt;&gt;0,'Cost &amp; Benefit Inputs'!L35*$Y38,"")</f>
        <v/>
      </c>
      <c r="AF38" s="166" t="str">
        <f>IF($Y38&lt;&gt;0,'Cost &amp; Benefit Inputs'!M35*$Y38,"")</f>
        <v/>
      </c>
      <c r="AG38" s="166" t="str">
        <f>IF($Y38&lt;&gt;0,'Cost &amp; Benefit Inputs'!N35*$Y38,"")</f>
        <v/>
      </c>
      <c r="AH38" s="166" t="str">
        <f>IF($Y38&lt;&gt;0,'Cost &amp; Benefit Inputs'!O35*$Y38,"")</f>
        <v/>
      </c>
      <c r="AI38" s="166" t="str">
        <f>IF($Y38&lt;&gt;0,'Cost &amp; Benefit Inputs'!P35*$Y38,"")</f>
        <v/>
      </c>
      <c r="AJ38" s="167" t="str">
        <f>IF($Y38&lt;&gt;0,'Cost &amp; Benefit Inputs'!Q35,"")</f>
        <v/>
      </c>
      <c r="AL38" s="166" t="str">
        <f>IF($Y38,'Cost &amp; Benefit Inputs'!U35,"")</f>
        <v/>
      </c>
      <c r="AM38" s="166" t="str">
        <f>IF($Y38,'Cost &amp; Benefit Inputs'!V35,"")</f>
        <v/>
      </c>
      <c r="AN38" s="166" t="str">
        <f>IF($Y38,'Cost &amp; Benefit Inputs'!W35,"")</f>
        <v/>
      </c>
      <c r="AO38" s="166" t="str">
        <f>IF($Y38,'Cost &amp; Benefit Inputs'!X35,"")</f>
        <v/>
      </c>
      <c r="AP38" s="166" t="str">
        <f>IF($Y38,'Cost &amp; Benefit Inputs'!Y35,"")</f>
        <v/>
      </c>
      <c r="AQ38" s="166" t="str">
        <f>IF($Y38,'Cost &amp; Benefit Inputs'!Z35,"")</f>
        <v/>
      </c>
      <c r="AR38" s="31"/>
      <c r="AS38" s="166" t="str">
        <f>IF($Y38&lt;&gt;0,'Cost &amp; Benefit Inputs'!AB35*$Y38,"")</f>
        <v/>
      </c>
      <c r="AT38" s="166" t="str">
        <f>IF($Y38&lt;&gt;0,'Cost &amp; Benefit Inputs'!AC35*$Y38,"")</f>
        <v/>
      </c>
      <c r="AU38" s="165"/>
      <c r="AV38" s="166" t="str">
        <f>IF($Y38&lt;&gt;0,'Cost &amp; Benefit Inputs'!AE35*$Y38,"")</f>
        <v/>
      </c>
      <c r="AW38" s="166" t="str">
        <f>IF($Y38&lt;&gt;0,'Cost &amp; Benefit Inputs'!AF35*$Y38,"")</f>
        <v/>
      </c>
      <c r="AX38" s="166" t="str">
        <f>IF($Y38&lt;&gt;0,'Cost &amp; Benefit Inputs'!AG35*$Y38,"")</f>
        <v/>
      </c>
      <c r="AY38" s="31"/>
      <c r="AZ38" s="166" t="str">
        <f>IF($Y38&lt;&gt;0,'Cost &amp; Benefit Inputs'!AI35*$Y38,"")</f>
        <v/>
      </c>
      <c r="BA38" s="166" t="str">
        <f>IF($Y38&lt;&gt;0,'Cost &amp; Benefit Inputs'!AJ35*$Y38,"")</f>
        <v/>
      </c>
      <c r="BB38" s="166" t="str">
        <f>IF($Y38&lt;&gt;0,'Cost &amp; Benefit Inputs'!AK35*$Y38,"")</f>
        <v/>
      </c>
      <c r="BC38" s="166" t="str">
        <f>IF($Y38&lt;&gt;0,'Cost &amp; Benefit Inputs'!AL35*$Y38,"")</f>
        <v/>
      </c>
      <c r="BD38" s="173" t="str">
        <f>IF($Y38&lt;&gt;0,'Cost &amp; Benefit Inputs'!AM35,"")</f>
        <v/>
      </c>
    </row>
    <row r="39" spans="1:56" x14ac:dyDescent="0.2">
      <c r="A39" s="128" t="s">
        <v>136</v>
      </c>
      <c r="B39" s="129">
        <f>VLOOKUP($A39,'Scoring Inputs'!$A:$AH,2,0)</f>
        <v>0</v>
      </c>
      <c r="C39" s="129">
        <f>VLOOKUP($A39,'Scoring Inputs'!$A:$AH,3,0)</f>
        <v>0</v>
      </c>
      <c r="E39" s="198" t="str">
        <f>IF(ISBLANK(VLOOKUP($A39,'Scoring Inputs'!$A:$AH,4,0)),"",VLOOKUP($A39,'Scoring Inputs'!$A:$AH,4,0))</f>
        <v/>
      </c>
      <c r="G39" s="14" t="str">
        <f>IF(VLOOKUP($A39,'Scoring Inputs'!$A:$AH,10,0)="","",G$9*VLOOKUP(VLOOKUP($A39,'Scoring Inputs'!$A:$AH,10,0),RANK_TABLE,3,0))</f>
        <v/>
      </c>
      <c r="H39" s="247" t="str">
        <f>IF(VLOOKUP($A39,'Scoring Inputs'!$A:$AH,12,0)="","",$H$9*VLOOKUP(VLOOKUP($A39,'Scoring Inputs'!$A:$AH,12,0),RANK_TABLE,3,0))</f>
        <v/>
      </c>
      <c r="J39" s="255" t="str">
        <f>IF(VLOOKUP($A39,'Scoring Inputs'!$A:$AH,14,0)="","",$J$9*VLOOKUP(VLOOKUP($A39,'Scoring Inputs'!$A:$AH,14,0),RANK_TABLE,3,0))</f>
        <v/>
      </c>
      <c r="K39" s="15" t="str">
        <f>IF(VLOOKUP($A39,'Scoring Inputs'!$A:$AH,18,0)="","",$K$9*VLOOKUP(VLOOKUP($A39,'Scoring Inputs'!$A:$AH,18,0),RANK_TABLE,3,0))</f>
        <v/>
      </c>
      <c r="L39" s="140" t="str">
        <f>IF(VLOOKUP($A39,'Scoring Inputs'!$A:$AI,35,0)="","",L$9)</f>
        <v/>
      </c>
      <c r="M39" s="140" t="str">
        <f>IF(VLOOKUP($A39,'Scoring Inputs'!$A:$AH,6,0)="","",ROUND(VLOOKUP($A39,'Scoring Inputs'!$A:$AH,6,0)*M$9,0))</f>
        <v/>
      </c>
      <c r="N39" s="252" t="str">
        <f>IF(VLOOKUP($A39,'Scoring Inputs'!$A:$AH,16,0)="","",$N$9*VLOOKUP(VLOOKUP($A39,'Scoring Inputs'!$A:$AH,16,0),RANK_TABLE,3,0))</f>
        <v/>
      </c>
      <c r="O39" s="15" t="str">
        <f>IF(VLOOKUP($A39,'Scoring Inputs'!$A:$AH,20,0)="","",$O$9*VLOOKUP(VLOOKUP($A39,'Scoring Inputs'!$A:$AH,20,0),RANK_TABLE,3,0))</f>
        <v/>
      </c>
      <c r="P39" s="140" t="str">
        <f>IF(VLOOKUP($A39,'Scoring Inputs'!$A:$AH,23,0)="","",$P$9*VLOOKUP(VLOOKUP($A39,'Scoring Inputs'!$A:$AH,23,0),RANK_TABLE,3,0))</f>
        <v/>
      </c>
      <c r="Q39" s="204"/>
      <c r="R39" s="209">
        <f>IF(VLOOKUP($A39,'Scoring Inputs'!$A:$BF,28,0)="","",$R$9*VLOOKUP($A39,'Scoring Inputs'!$A:$BF,28,0))</f>
        <v>0</v>
      </c>
      <c r="T39" s="148">
        <f t="shared" si="6"/>
        <v>0</v>
      </c>
      <c r="U39" s="185">
        <f t="shared" si="7"/>
        <v>0</v>
      </c>
      <c r="W39" s="148"/>
      <c r="Y39" s="147">
        <v>0</v>
      </c>
      <c r="AB39" s="165" t="str">
        <f>IF($Y39&lt;&gt;0,'Cost &amp; Benefit Inputs'!G36*$Y39,"")</f>
        <v/>
      </c>
      <c r="AC39" s="166" t="str">
        <f>IF($Y39&lt;&gt;0,'Cost &amp; Benefit Inputs'!I36*$Y39,"")</f>
        <v/>
      </c>
      <c r="AD39" s="166" t="str">
        <f>IF($Y39&lt;&gt;0,'Cost &amp; Benefit Inputs'!K36*$Y39,"")</f>
        <v/>
      </c>
      <c r="AE39" s="166" t="str">
        <f>IF($Y39&lt;&gt;0,'Cost &amp; Benefit Inputs'!L36*$Y39,"")</f>
        <v/>
      </c>
      <c r="AF39" s="166" t="str">
        <f>IF($Y39&lt;&gt;0,'Cost &amp; Benefit Inputs'!M36*$Y39,"")</f>
        <v/>
      </c>
      <c r="AG39" s="166" t="str">
        <f>IF($Y39&lt;&gt;0,'Cost &amp; Benefit Inputs'!N36*$Y39,"")</f>
        <v/>
      </c>
      <c r="AH39" s="166" t="str">
        <f>IF($Y39&lt;&gt;0,'Cost &amp; Benefit Inputs'!O36*$Y39,"")</f>
        <v/>
      </c>
      <c r="AI39" s="166" t="str">
        <f>IF($Y39&lt;&gt;0,'Cost &amp; Benefit Inputs'!P36*$Y39,"")</f>
        <v/>
      </c>
      <c r="AJ39" s="167" t="str">
        <f>IF($Y39&lt;&gt;0,'Cost &amp; Benefit Inputs'!Q36,"")</f>
        <v/>
      </c>
      <c r="AL39" s="166" t="str">
        <f>IF($Y39,'Cost &amp; Benefit Inputs'!U36,"")</f>
        <v/>
      </c>
      <c r="AM39" s="166" t="str">
        <f>IF($Y39,'Cost &amp; Benefit Inputs'!V36,"")</f>
        <v/>
      </c>
      <c r="AN39" s="166" t="str">
        <f>IF($Y39,'Cost &amp; Benefit Inputs'!W36,"")</f>
        <v/>
      </c>
      <c r="AO39" s="166" t="str">
        <f>IF($Y39,'Cost &amp; Benefit Inputs'!X36,"")</f>
        <v/>
      </c>
      <c r="AP39" s="166" t="str">
        <f>IF($Y39,'Cost &amp; Benefit Inputs'!Y36,"")</f>
        <v/>
      </c>
      <c r="AQ39" s="166" t="str">
        <f>IF($Y39,'Cost &amp; Benefit Inputs'!Z36,"")</f>
        <v/>
      </c>
      <c r="AR39" s="31"/>
      <c r="AS39" s="166" t="str">
        <f>IF($Y39&lt;&gt;0,'Cost &amp; Benefit Inputs'!AB36*$Y39,"")</f>
        <v/>
      </c>
      <c r="AT39" s="166" t="str">
        <f>IF($Y39&lt;&gt;0,'Cost &amp; Benefit Inputs'!AC36*$Y39,"")</f>
        <v/>
      </c>
      <c r="AU39" s="165"/>
      <c r="AV39" s="166" t="str">
        <f>IF($Y39&lt;&gt;0,'Cost &amp; Benefit Inputs'!AE36*$Y39,"")</f>
        <v/>
      </c>
      <c r="AW39" s="166" t="str">
        <f>IF($Y39&lt;&gt;0,'Cost &amp; Benefit Inputs'!AF36*$Y39,"")</f>
        <v/>
      </c>
      <c r="AX39" s="166" t="str">
        <f>IF($Y39&lt;&gt;0,'Cost &amp; Benefit Inputs'!AG36*$Y39,"")</f>
        <v/>
      </c>
      <c r="AY39" s="31"/>
      <c r="AZ39" s="166" t="str">
        <f>IF($Y39&lt;&gt;0,'Cost &amp; Benefit Inputs'!AI36*$Y39,"")</f>
        <v/>
      </c>
      <c r="BA39" s="166" t="str">
        <f>IF($Y39&lt;&gt;0,'Cost &amp; Benefit Inputs'!AJ36*$Y39,"")</f>
        <v/>
      </c>
      <c r="BB39" s="166" t="str">
        <f>IF($Y39&lt;&gt;0,'Cost &amp; Benefit Inputs'!AK36*$Y39,"")</f>
        <v/>
      </c>
      <c r="BC39" s="166" t="str">
        <f>IF($Y39&lt;&gt;0,'Cost &amp; Benefit Inputs'!AL36*$Y39,"")</f>
        <v/>
      </c>
      <c r="BD39" s="173" t="str">
        <f>IF($Y39&lt;&gt;0,'Cost &amp; Benefit Inputs'!AM36,"")</f>
        <v/>
      </c>
    </row>
    <row r="40" spans="1:56" x14ac:dyDescent="0.2">
      <c r="A40" s="128" t="s">
        <v>137</v>
      </c>
      <c r="B40" s="129">
        <f>VLOOKUP($A40,'Scoring Inputs'!$A:$AH,2,0)</f>
        <v>0</v>
      </c>
      <c r="C40" s="129">
        <f>VLOOKUP($A40,'Scoring Inputs'!$A:$AH,3,0)</f>
        <v>0</v>
      </c>
      <c r="E40" s="198" t="str">
        <f>IF(ISBLANK(VLOOKUP($A40,'Scoring Inputs'!$A:$AH,4,0)),"",VLOOKUP($A40,'Scoring Inputs'!$A:$AH,4,0))</f>
        <v/>
      </c>
      <c r="G40" s="14" t="str">
        <f>IF(VLOOKUP($A40,'Scoring Inputs'!$A:$AH,10,0)="","",G$9*VLOOKUP(VLOOKUP($A40,'Scoring Inputs'!$A:$AH,10,0),RANK_TABLE,3,0))</f>
        <v/>
      </c>
      <c r="H40" s="247" t="str">
        <f>IF(VLOOKUP($A40,'Scoring Inputs'!$A:$AH,12,0)="","",$H$9*VLOOKUP(VLOOKUP($A40,'Scoring Inputs'!$A:$AH,12,0),RANK_TABLE,3,0))</f>
        <v/>
      </c>
      <c r="J40" s="255" t="str">
        <f>IF(VLOOKUP($A40,'Scoring Inputs'!$A:$AH,14,0)="","",$J$9*VLOOKUP(VLOOKUP($A40,'Scoring Inputs'!$A:$AH,14,0),RANK_TABLE,3,0))</f>
        <v/>
      </c>
      <c r="K40" s="15" t="str">
        <f>IF(VLOOKUP($A40,'Scoring Inputs'!$A:$AH,18,0)="","",$K$9*VLOOKUP(VLOOKUP($A40,'Scoring Inputs'!$A:$AH,18,0),RANK_TABLE,3,0))</f>
        <v/>
      </c>
      <c r="L40" s="140" t="str">
        <f>IF(VLOOKUP($A40,'Scoring Inputs'!$A:$AI,35,0)="","",L$9)</f>
        <v/>
      </c>
      <c r="M40" s="140" t="str">
        <f>IF(VLOOKUP($A40,'Scoring Inputs'!$A:$AH,6,0)="","",ROUND(VLOOKUP($A40,'Scoring Inputs'!$A:$AH,6,0)*M$9,0))</f>
        <v/>
      </c>
      <c r="N40" s="252" t="str">
        <f>IF(VLOOKUP($A40,'Scoring Inputs'!$A:$AH,16,0)="","",$N$9*VLOOKUP(VLOOKUP($A40,'Scoring Inputs'!$A:$AH,16,0),RANK_TABLE,3,0))</f>
        <v/>
      </c>
      <c r="O40" s="15" t="str">
        <f>IF(VLOOKUP($A40,'Scoring Inputs'!$A:$AH,20,0)="","",$O$9*VLOOKUP(VLOOKUP($A40,'Scoring Inputs'!$A:$AH,20,0),RANK_TABLE,3,0))</f>
        <v/>
      </c>
      <c r="P40" s="140" t="str">
        <f>IF(VLOOKUP($A40,'Scoring Inputs'!$A:$AH,23,0)="","",$P$9*VLOOKUP(VLOOKUP($A40,'Scoring Inputs'!$A:$AH,23,0),RANK_TABLE,3,0))</f>
        <v/>
      </c>
      <c r="Q40" s="204"/>
      <c r="R40" s="209">
        <f>IF(VLOOKUP($A40,'Scoring Inputs'!$A:$BF,28,0)="","",$R$9*VLOOKUP($A40,'Scoring Inputs'!$A:$BF,28,0))</f>
        <v>0</v>
      </c>
      <c r="T40" s="148">
        <f t="shared" si="6"/>
        <v>0</v>
      </c>
      <c r="U40" s="185">
        <f t="shared" si="7"/>
        <v>0</v>
      </c>
      <c r="W40" s="148"/>
      <c r="Y40" s="147">
        <v>0</v>
      </c>
      <c r="AB40" s="165" t="str">
        <f>IF($Y40&lt;&gt;0,'Cost &amp; Benefit Inputs'!G37*$Y40,"")</f>
        <v/>
      </c>
      <c r="AC40" s="166" t="str">
        <f>IF($Y40&lt;&gt;0,'Cost &amp; Benefit Inputs'!I37*$Y40,"")</f>
        <v/>
      </c>
      <c r="AD40" s="166" t="str">
        <f>IF($Y40&lt;&gt;0,'Cost &amp; Benefit Inputs'!K37*$Y40,"")</f>
        <v/>
      </c>
      <c r="AE40" s="166" t="str">
        <f>IF($Y40&lt;&gt;0,'Cost &amp; Benefit Inputs'!L37*$Y40,"")</f>
        <v/>
      </c>
      <c r="AF40" s="166" t="str">
        <f>IF($Y40&lt;&gt;0,'Cost &amp; Benefit Inputs'!M37*$Y40,"")</f>
        <v/>
      </c>
      <c r="AG40" s="166" t="str">
        <f>IF($Y40&lt;&gt;0,'Cost &amp; Benefit Inputs'!N37*$Y40,"")</f>
        <v/>
      </c>
      <c r="AH40" s="166" t="str">
        <f>IF($Y40&lt;&gt;0,'Cost &amp; Benefit Inputs'!O37*$Y40,"")</f>
        <v/>
      </c>
      <c r="AI40" s="166" t="str">
        <f>IF($Y40&lt;&gt;0,'Cost &amp; Benefit Inputs'!P37*$Y40,"")</f>
        <v/>
      </c>
      <c r="AJ40" s="167" t="str">
        <f>IF($Y40&lt;&gt;0,'Cost &amp; Benefit Inputs'!Q37,"")</f>
        <v/>
      </c>
      <c r="AL40" s="166" t="str">
        <f>IF($Y40,'Cost &amp; Benefit Inputs'!U37,"")</f>
        <v/>
      </c>
      <c r="AM40" s="166" t="str">
        <f>IF($Y40,'Cost &amp; Benefit Inputs'!V37,"")</f>
        <v/>
      </c>
      <c r="AN40" s="166" t="str">
        <f>IF($Y40,'Cost &amp; Benefit Inputs'!W37,"")</f>
        <v/>
      </c>
      <c r="AO40" s="166" t="str">
        <f>IF($Y40,'Cost &amp; Benefit Inputs'!X37,"")</f>
        <v/>
      </c>
      <c r="AP40" s="166" t="str">
        <f>IF($Y40,'Cost &amp; Benefit Inputs'!Y37,"")</f>
        <v/>
      </c>
      <c r="AQ40" s="166" t="str">
        <f>IF($Y40,'Cost &amp; Benefit Inputs'!Z37,"")</f>
        <v/>
      </c>
      <c r="AR40" s="31"/>
      <c r="AS40" s="166" t="str">
        <f>IF($Y40&lt;&gt;0,'Cost &amp; Benefit Inputs'!AB37*$Y40,"")</f>
        <v/>
      </c>
      <c r="AT40" s="166" t="str">
        <f>IF($Y40&lt;&gt;0,'Cost &amp; Benefit Inputs'!AC37*$Y40,"")</f>
        <v/>
      </c>
      <c r="AU40" s="165"/>
      <c r="AV40" s="166" t="str">
        <f>IF($Y40&lt;&gt;0,'Cost &amp; Benefit Inputs'!AE37*$Y40,"")</f>
        <v/>
      </c>
      <c r="AW40" s="166" t="str">
        <f>IF($Y40&lt;&gt;0,'Cost &amp; Benefit Inputs'!AF37*$Y40,"")</f>
        <v/>
      </c>
      <c r="AX40" s="166" t="str">
        <f>IF($Y40&lt;&gt;0,'Cost &amp; Benefit Inputs'!AG37*$Y40,"")</f>
        <v/>
      </c>
      <c r="AY40" s="31"/>
      <c r="AZ40" s="166" t="str">
        <f>IF($Y40&lt;&gt;0,'Cost &amp; Benefit Inputs'!AI37*$Y40,"")</f>
        <v/>
      </c>
      <c r="BA40" s="166" t="str">
        <f>IF($Y40&lt;&gt;0,'Cost &amp; Benefit Inputs'!AJ37*$Y40,"")</f>
        <v/>
      </c>
      <c r="BB40" s="166" t="str">
        <f>IF($Y40&lt;&gt;0,'Cost &amp; Benefit Inputs'!AK37*$Y40,"")</f>
        <v/>
      </c>
      <c r="BC40" s="166" t="str">
        <f>IF($Y40&lt;&gt;0,'Cost &amp; Benefit Inputs'!AL37*$Y40,"")</f>
        <v/>
      </c>
      <c r="BD40" s="173" t="str">
        <f>IF($Y40&lt;&gt;0,'Cost &amp; Benefit Inputs'!AM37,"")</f>
        <v/>
      </c>
    </row>
    <row r="41" spans="1:56" x14ac:dyDescent="0.2">
      <c r="A41" s="128" t="s">
        <v>232</v>
      </c>
      <c r="B41" s="131">
        <f>VLOOKUP($A41,'Scoring Inputs'!$A:$AH,2,0)</f>
        <v>0</v>
      </c>
      <c r="C41" s="129">
        <f>VLOOKUP($A41,'Scoring Inputs'!$A:$AH,3,0)</f>
        <v>0</v>
      </c>
      <c r="E41" s="198" t="str">
        <f>IF(ISBLANK(VLOOKUP($A41,'Scoring Inputs'!$A:$AH,4,0)),"",VLOOKUP($A41,'Scoring Inputs'!$A:$AH,4,0))</f>
        <v/>
      </c>
      <c r="G41" s="14" t="str">
        <f>IF(VLOOKUP($A41,'Scoring Inputs'!$A:$AH,10,0)="","",G$9*VLOOKUP(VLOOKUP($A41,'Scoring Inputs'!$A:$AH,10,0),RANK_TABLE,3,0))</f>
        <v/>
      </c>
      <c r="H41" s="247" t="str">
        <f>IF(VLOOKUP($A41,'Scoring Inputs'!$A:$AH,12,0)="","",$H$9*VLOOKUP(VLOOKUP($A41,'Scoring Inputs'!$A:$AH,12,0),RANK_TABLE,3,0))</f>
        <v/>
      </c>
      <c r="J41" s="255" t="str">
        <f>IF(VLOOKUP($A41,'Scoring Inputs'!$A:$AH,14,0)="","",$J$9*VLOOKUP(VLOOKUP($A41,'Scoring Inputs'!$A:$AH,14,0),RANK_TABLE,3,0))</f>
        <v/>
      </c>
      <c r="K41" s="15" t="str">
        <f>IF(VLOOKUP($A41,'Scoring Inputs'!$A:$AH,18,0)="","",$K$9*VLOOKUP(VLOOKUP($A41,'Scoring Inputs'!$A:$AH,18,0),RANK_TABLE,3,0))</f>
        <v/>
      </c>
      <c r="L41" s="140" t="str">
        <f>IF(VLOOKUP($A41,'Scoring Inputs'!$A:$AI,35,0)="","",L$9)</f>
        <v/>
      </c>
      <c r="M41" s="140" t="str">
        <f>IF(VLOOKUP($A41,'Scoring Inputs'!$A:$AH,6,0)="","",ROUND(VLOOKUP($A41,'Scoring Inputs'!$A:$AH,6,0)*M$9,0))</f>
        <v/>
      </c>
      <c r="N41" s="252" t="str">
        <f>IF(VLOOKUP($A41,'Scoring Inputs'!$A:$AH,16,0)="","",$N$9*VLOOKUP(VLOOKUP($A41,'Scoring Inputs'!$A:$AH,16,0),RANK_TABLE,3,0))</f>
        <v/>
      </c>
      <c r="O41" s="15" t="str">
        <f>IF(VLOOKUP($A41,'Scoring Inputs'!$A:$AH,20,0)="","",$O$9*VLOOKUP(VLOOKUP($A41,'Scoring Inputs'!$A:$AH,20,0),RANK_TABLE,3,0))</f>
        <v/>
      </c>
      <c r="P41" s="140" t="str">
        <f>IF(VLOOKUP($A41,'Scoring Inputs'!$A:$AH,23,0)="","",$P$9*VLOOKUP(VLOOKUP($A41,'Scoring Inputs'!$A:$AH,23,0),RANK_TABLE,3,0))</f>
        <v/>
      </c>
      <c r="Q41" s="204"/>
      <c r="R41" s="209">
        <f>IF(VLOOKUP($A41,'Scoring Inputs'!$A:$BF,28,0)="","",$R$9*VLOOKUP($A41,'Scoring Inputs'!$A:$BF,28,0))</f>
        <v>0</v>
      </c>
      <c r="T41" s="148">
        <f t="shared" si="6"/>
        <v>0</v>
      </c>
      <c r="U41" s="185">
        <f t="shared" si="7"/>
        <v>0</v>
      </c>
      <c r="W41" s="148"/>
      <c r="Y41" s="147">
        <v>0</v>
      </c>
      <c r="AB41" s="165" t="str">
        <f>IF($Y41&lt;&gt;0,'Cost &amp; Benefit Inputs'!G38*$Y41,"")</f>
        <v/>
      </c>
      <c r="AC41" s="166" t="str">
        <f>IF($Y41&lt;&gt;0,'Cost &amp; Benefit Inputs'!I38*$Y41,"")</f>
        <v/>
      </c>
      <c r="AD41" s="166" t="str">
        <f>IF($Y41&lt;&gt;0,'Cost &amp; Benefit Inputs'!K38*$Y41,"")</f>
        <v/>
      </c>
      <c r="AE41" s="166" t="str">
        <f>IF($Y41&lt;&gt;0,'Cost &amp; Benefit Inputs'!L38*$Y41,"")</f>
        <v/>
      </c>
      <c r="AF41" s="166" t="str">
        <f>IF($Y41&lt;&gt;0,'Cost &amp; Benefit Inputs'!M38*$Y41,"")</f>
        <v/>
      </c>
      <c r="AG41" s="166" t="str">
        <f>IF($Y41&lt;&gt;0,'Cost &amp; Benefit Inputs'!N38*$Y41,"")</f>
        <v/>
      </c>
      <c r="AH41" s="166" t="str">
        <f>IF($Y41&lt;&gt;0,'Cost &amp; Benefit Inputs'!O38*$Y41,"")</f>
        <v/>
      </c>
      <c r="AI41" s="166" t="str">
        <f>IF($Y41&lt;&gt;0,'Cost &amp; Benefit Inputs'!P38*$Y41,"")</f>
        <v/>
      </c>
      <c r="AJ41" s="167" t="str">
        <f>IF($Y41&lt;&gt;0,'Cost &amp; Benefit Inputs'!Q38,"")</f>
        <v/>
      </c>
      <c r="AL41" s="166" t="str">
        <f>IF($Y41,'Cost &amp; Benefit Inputs'!U38,"")</f>
        <v/>
      </c>
      <c r="AM41" s="166" t="str">
        <f>IF($Y41,'Cost &amp; Benefit Inputs'!V38,"")</f>
        <v/>
      </c>
      <c r="AN41" s="166" t="str">
        <f>IF($Y41,'Cost &amp; Benefit Inputs'!W38,"")</f>
        <v/>
      </c>
      <c r="AO41" s="166" t="str">
        <f>IF($Y41,'Cost &amp; Benefit Inputs'!X38,"")</f>
        <v/>
      </c>
      <c r="AP41" s="166" t="str">
        <f>IF($Y41,'Cost &amp; Benefit Inputs'!Y38,"")</f>
        <v/>
      </c>
      <c r="AQ41" s="166" t="str">
        <f>IF($Y41,'Cost &amp; Benefit Inputs'!Z38,"")</f>
        <v/>
      </c>
      <c r="AR41" s="31"/>
      <c r="AS41" s="166" t="str">
        <f>IF($Y41&lt;&gt;0,'Cost &amp; Benefit Inputs'!AB38*$Y41,"")</f>
        <v/>
      </c>
      <c r="AT41" s="166" t="str">
        <f>IF($Y41&lt;&gt;0,'Cost &amp; Benefit Inputs'!AC38*$Y41,"")</f>
        <v/>
      </c>
      <c r="AU41" s="165"/>
      <c r="AV41" s="166" t="str">
        <f>IF($Y41&lt;&gt;0,'Cost &amp; Benefit Inputs'!AE38*$Y41,"")</f>
        <v/>
      </c>
      <c r="AW41" s="166" t="str">
        <f>IF($Y41&lt;&gt;0,'Cost &amp; Benefit Inputs'!AF38*$Y41,"")</f>
        <v/>
      </c>
      <c r="AX41" s="166" t="str">
        <f>IF($Y41&lt;&gt;0,'Cost &amp; Benefit Inputs'!AG38*$Y41,"")</f>
        <v/>
      </c>
      <c r="AY41" s="31"/>
      <c r="AZ41" s="166" t="str">
        <f>IF($Y41&lt;&gt;0,'Cost &amp; Benefit Inputs'!AI38*$Y41,"")</f>
        <v/>
      </c>
      <c r="BA41" s="166" t="str">
        <f>IF($Y41&lt;&gt;0,'Cost &amp; Benefit Inputs'!AJ38*$Y41,"")</f>
        <v/>
      </c>
      <c r="BB41" s="166" t="str">
        <f>IF($Y41&lt;&gt;0,'Cost &amp; Benefit Inputs'!AK38*$Y41,"")</f>
        <v/>
      </c>
      <c r="BC41" s="166" t="str">
        <f>IF($Y41&lt;&gt;0,'Cost &amp; Benefit Inputs'!AL38*$Y41,"")</f>
        <v/>
      </c>
      <c r="BD41" s="173" t="str">
        <f>IF($Y41&lt;&gt;0,'Cost &amp; Benefit Inputs'!AM38,"")</f>
        <v/>
      </c>
    </row>
    <row r="42" spans="1:56" ht="12" customHeight="1" thickBot="1" x14ac:dyDescent="0.25">
      <c r="A42" s="128" t="s">
        <v>237</v>
      </c>
      <c r="B42" s="133">
        <f>VLOOKUP($A42,'Scoring Inputs'!$A:$AH,2,0)</f>
        <v>0</v>
      </c>
      <c r="C42" s="129">
        <f>VLOOKUP($A42,'Scoring Inputs'!$A:$AH,3,0)</f>
        <v>0</v>
      </c>
      <c r="E42" s="198" t="str">
        <f>IF(ISBLANK(VLOOKUP($A42,'Scoring Inputs'!$A:$AH,4,0)),"",VLOOKUP($A42,'Scoring Inputs'!$A:$AH,4,0))</f>
        <v/>
      </c>
      <c r="G42" s="14" t="str">
        <f>IF(VLOOKUP($A42,'Scoring Inputs'!$A:$AH,10,0)="","",G$9*VLOOKUP(VLOOKUP($A42,'Scoring Inputs'!$A:$AH,10,0),RANK_TABLE,3,0))</f>
        <v/>
      </c>
      <c r="H42" s="247" t="str">
        <f>IF(VLOOKUP($A42,'Scoring Inputs'!$A:$AH,12,0)="","",$H$9*VLOOKUP(VLOOKUP($A42,'Scoring Inputs'!$A:$AH,12,0),RANK_TABLE,3,0))</f>
        <v/>
      </c>
      <c r="J42" s="255" t="str">
        <f>IF(VLOOKUP($A42,'Scoring Inputs'!$A:$AH,14,0)="","",$J$9*VLOOKUP(VLOOKUP($A42,'Scoring Inputs'!$A:$AH,14,0),RANK_TABLE,3,0))</f>
        <v/>
      </c>
      <c r="K42" s="15" t="str">
        <f>IF(VLOOKUP($A42,'Scoring Inputs'!$A:$AH,18,0)="","",$K$9*VLOOKUP(VLOOKUP($A42,'Scoring Inputs'!$A:$AH,18,0),RANK_TABLE,3,0))</f>
        <v/>
      </c>
      <c r="L42" s="140" t="str">
        <f>IF(VLOOKUP($A42,'Scoring Inputs'!$A:$AI,35,0)="","",L$9)</f>
        <v/>
      </c>
      <c r="M42" s="140" t="str">
        <f>IF(VLOOKUP($A42,'Scoring Inputs'!$A:$AH,6,0)="","",ROUND(VLOOKUP($A42,'Scoring Inputs'!$A:$AH,6,0)*M$9,0))</f>
        <v/>
      </c>
      <c r="N42" s="252" t="str">
        <f>IF(VLOOKUP($A42,'Scoring Inputs'!$A:$AH,16,0)="","",$N$9*VLOOKUP(VLOOKUP($A42,'Scoring Inputs'!$A:$AH,16,0),RANK_TABLE,3,0))</f>
        <v/>
      </c>
      <c r="O42" s="15" t="str">
        <f>IF(VLOOKUP($A42,'Scoring Inputs'!$A:$AH,20,0)="","",$O$9*VLOOKUP(VLOOKUP($A42,'Scoring Inputs'!$A:$AH,20,0),RANK_TABLE,3,0))</f>
        <v/>
      </c>
      <c r="P42" s="140" t="str">
        <f>IF(VLOOKUP($A42,'Scoring Inputs'!$A:$AH,23,0)="","",$P$9*VLOOKUP(VLOOKUP($A42,'Scoring Inputs'!$A:$AH,23,0),RANK_TABLE,3,0))</f>
        <v/>
      </c>
      <c r="Q42" s="204"/>
      <c r="R42" s="209">
        <f>IF(VLOOKUP($A42,'Scoring Inputs'!$A:$BF,28,0)="","",$R$9*VLOOKUP($A42,'Scoring Inputs'!$A:$BF,28,0))</f>
        <v>0</v>
      </c>
      <c r="T42" s="148">
        <f t="shared" si="6"/>
        <v>0</v>
      </c>
      <c r="U42" s="185">
        <f t="shared" si="7"/>
        <v>0</v>
      </c>
      <c r="W42" s="148"/>
      <c r="Y42" s="147">
        <v>0</v>
      </c>
      <c r="AB42" s="165" t="str">
        <f>IF($Y42&lt;&gt;0,'Cost &amp; Benefit Inputs'!G39*$Y42,"")</f>
        <v/>
      </c>
      <c r="AC42" s="166" t="str">
        <f>IF($Y42&lt;&gt;0,'Cost &amp; Benefit Inputs'!I39*$Y42,"")</f>
        <v/>
      </c>
      <c r="AD42" s="166" t="str">
        <f>IF($Y42&lt;&gt;0,'Cost &amp; Benefit Inputs'!K39*$Y42,"")</f>
        <v/>
      </c>
      <c r="AE42" s="166" t="str">
        <f>IF($Y42&lt;&gt;0,'Cost &amp; Benefit Inputs'!L39*$Y42,"")</f>
        <v/>
      </c>
      <c r="AF42" s="166" t="str">
        <f>IF($Y42&lt;&gt;0,'Cost &amp; Benefit Inputs'!M39*$Y42,"")</f>
        <v/>
      </c>
      <c r="AG42" s="166" t="str">
        <f>IF($Y42&lt;&gt;0,'Cost &amp; Benefit Inputs'!N39*$Y42,"")</f>
        <v/>
      </c>
      <c r="AH42" s="166" t="str">
        <f>IF($Y42&lt;&gt;0,'Cost &amp; Benefit Inputs'!O39*$Y42,"")</f>
        <v/>
      </c>
      <c r="AI42" s="166" t="str">
        <f>IF($Y42&lt;&gt;0,'Cost &amp; Benefit Inputs'!P39*$Y42,"")</f>
        <v/>
      </c>
      <c r="AJ42" s="167" t="str">
        <f>IF($Y42&lt;&gt;0,'Cost &amp; Benefit Inputs'!Q39,"")</f>
        <v/>
      </c>
      <c r="AL42" s="166" t="str">
        <f>IF($Y42,'Cost &amp; Benefit Inputs'!U39,"")</f>
        <v/>
      </c>
      <c r="AM42" s="166" t="str">
        <f>IF($Y42,'Cost &amp; Benefit Inputs'!V39,"")</f>
        <v/>
      </c>
      <c r="AN42" s="166" t="str">
        <f>IF($Y42,'Cost &amp; Benefit Inputs'!W39,"")</f>
        <v/>
      </c>
      <c r="AO42" s="166" t="str">
        <f>IF($Y42,'Cost &amp; Benefit Inputs'!X39,"")</f>
        <v/>
      </c>
      <c r="AP42" s="166" t="str">
        <f>IF($Y42,'Cost &amp; Benefit Inputs'!Y39,"")</f>
        <v/>
      </c>
      <c r="AQ42" s="166" t="str">
        <f>IF($Y42,'Cost &amp; Benefit Inputs'!Z39,"")</f>
        <v/>
      </c>
      <c r="AR42" s="31"/>
      <c r="AS42" s="166" t="str">
        <f>IF($Y42&lt;&gt;0,'Cost &amp; Benefit Inputs'!AB39*$Y42,"")</f>
        <v/>
      </c>
      <c r="AT42" s="166" t="str">
        <f>IF($Y42&lt;&gt;0,'Cost &amp; Benefit Inputs'!AC39*$Y42,"")</f>
        <v/>
      </c>
      <c r="AU42" s="165"/>
      <c r="AV42" s="166" t="str">
        <f>IF($Y42&lt;&gt;0,'Cost &amp; Benefit Inputs'!AE39*$Y42,"")</f>
        <v/>
      </c>
      <c r="AW42" s="166" t="str">
        <f>IF($Y42&lt;&gt;0,'Cost &amp; Benefit Inputs'!AF39*$Y42,"")</f>
        <v/>
      </c>
      <c r="AX42" s="166" t="str">
        <f>IF($Y42&lt;&gt;0,'Cost &amp; Benefit Inputs'!AG39*$Y42,"")</f>
        <v/>
      </c>
      <c r="AY42" s="31"/>
      <c r="AZ42" s="166" t="str">
        <f>IF($Y42&lt;&gt;0,'Cost &amp; Benefit Inputs'!AI39*$Y42,"")</f>
        <v/>
      </c>
      <c r="BA42" s="166" t="str">
        <f>IF($Y42&lt;&gt;0,'Cost &amp; Benefit Inputs'!AJ39*$Y42,"")</f>
        <v/>
      </c>
      <c r="BB42" s="166" t="str">
        <f>IF($Y42&lt;&gt;0,'Cost &amp; Benefit Inputs'!AK39*$Y42,"")</f>
        <v/>
      </c>
      <c r="BC42" s="166" t="str">
        <f>IF($Y42&lt;&gt;0,'Cost &amp; Benefit Inputs'!AL39*$Y42,"")</f>
        <v/>
      </c>
      <c r="BD42" s="173" t="str">
        <f>IF($Y42&lt;&gt;0,'Cost &amp; Benefit Inputs'!AM39,"")</f>
        <v/>
      </c>
    </row>
    <row r="43" spans="1:56" x14ac:dyDescent="0.2">
      <c r="AB43" s="298"/>
      <c r="AC43" s="298"/>
      <c r="AD43" s="298"/>
      <c r="AE43" s="298"/>
      <c r="AF43" s="298"/>
      <c r="AG43" s="298"/>
      <c r="AH43" s="298"/>
      <c r="AI43" s="300"/>
      <c r="AJ43" s="298"/>
      <c r="AL43" s="298"/>
      <c r="AM43" s="298"/>
      <c r="AN43" s="298"/>
      <c r="AO43" s="298"/>
      <c r="AP43" s="298"/>
      <c r="AQ43" s="298"/>
      <c r="AS43" s="298"/>
      <c r="AT43" s="298"/>
      <c r="AU43" s="298"/>
      <c r="AV43" s="298"/>
      <c r="AW43" s="298"/>
      <c r="AX43" s="298"/>
      <c r="AZ43" s="298"/>
      <c r="BA43" s="298"/>
      <c r="BB43" s="298"/>
      <c r="BC43" s="298"/>
      <c r="BD43" s="298"/>
    </row>
    <row r="44" spans="1:56" x14ac:dyDescent="0.2">
      <c r="A44" s="285" t="s">
        <v>252</v>
      </c>
    </row>
  </sheetData>
  <conditionalFormatting sqref="E11:E42">
    <cfRule type="containsText" dxfId="0" priority="1" operator="containsText" text="No">
      <formula>NOT(ISERROR(SEARCH("No",E11)))</formula>
    </cfRule>
  </conditionalFormatting>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39997558519241921"/>
  </sheetPr>
  <dimension ref="A1:BD46"/>
  <sheetViews>
    <sheetView showGridLines="0" zoomScale="125" zoomScaleNormal="125" zoomScalePageLayoutView="125" workbookViewId="0">
      <pane xSplit="3" ySplit="5" topLeftCell="J6" activePane="bottomRight" state="frozen"/>
      <selection activeCell="V11" sqref="V11"/>
      <selection pane="topRight" activeCell="V11" sqref="V11"/>
      <selection pane="bottomLeft" activeCell="V11" sqref="V11"/>
      <selection pane="bottomRight" activeCell="B2" sqref="B2"/>
    </sheetView>
  </sheetViews>
  <sheetFormatPr baseColWidth="10" defaultColWidth="11" defaultRowHeight="16" x14ac:dyDescent="0.2"/>
  <cols>
    <col min="1" max="1" width="12" customWidth="1"/>
    <col min="2" max="2" width="39.83203125" customWidth="1"/>
    <col min="3" max="3" width="20" customWidth="1"/>
    <col min="4" max="4" width="14.1640625" customWidth="1"/>
    <col min="5" max="5" width="28.1640625" customWidth="1"/>
    <col min="6" max="7" width="8.6640625" customWidth="1"/>
    <col min="8" max="8" width="14.1640625" bestFit="1" customWidth="1"/>
    <col min="9" max="9" width="11.5" bestFit="1" customWidth="1"/>
    <col min="10" max="10" width="14.5" customWidth="1"/>
    <col min="11" max="11" width="8.6640625" customWidth="1"/>
    <col min="12" max="12" width="16" customWidth="1"/>
    <col min="13" max="13" width="19.33203125" customWidth="1"/>
    <col min="14" max="14" width="32" customWidth="1"/>
    <col min="15" max="15" width="22.6640625" hidden="1" customWidth="1"/>
    <col min="16" max="16" width="15.5" customWidth="1"/>
    <col min="18" max="18" width="14" customWidth="1"/>
    <col min="19" max="19" width="10.83203125" customWidth="1"/>
    <col min="20" max="20" width="16.83203125" hidden="1" customWidth="1"/>
    <col min="22" max="22" width="9.33203125" customWidth="1"/>
    <col min="23" max="23" width="25.5" hidden="1" customWidth="1"/>
    <col min="24" max="25" width="9.5" customWidth="1"/>
    <col min="26" max="26" width="9.1640625" customWidth="1"/>
    <col min="27" max="27" width="13.5" hidden="1" customWidth="1"/>
    <col min="28" max="28" width="21.1640625" customWidth="1"/>
    <col min="29" max="29" width="16.6640625" customWidth="1"/>
    <col min="30" max="33" width="14.33203125" customWidth="1"/>
    <col min="34" max="34" width="25.1640625" style="17" customWidth="1"/>
    <col min="35" max="35" width="19" style="17" customWidth="1"/>
  </cols>
  <sheetData>
    <row r="1" spans="1:56" ht="24" x14ac:dyDescent="0.3">
      <c r="B1" s="1" t="s">
        <v>181</v>
      </c>
    </row>
    <row r="2" spans="1:56" x14ac:dyDescent="0.2">
      <c r="B2" s="231" t="s">
        <v>21</v>
      </c>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48"/>
      <c r="AI2" s="248"/>
      <c r="AJ2" s="200"/>
      <c r="AK2" s="200"/>
      <c r="AL2" s="200"/>
      <c r="AM2" s="200"/>
      <c r="AN2" s="200"/>
      <c r="AO2" s="200"/>
      <c r="AP2" s="200"/>
      <c r="AQ2" s="200"/>
      <c r="AR2" s="200"/>
      <c r="AS2" s="200"/>
      <c r="AT2" s="200"/>
      <c r="AU2" s="200"/>
      <c r="AV2" s="200"/>
      <c r="AW2" s="200"/>
      <c r="AX2" s="200"/>
      <c r="AY2" s="200"/>
      <c r="AZ2" s="200"/>
      <c r="BA2" s="200"/>
      <c r="BB2" s="200"/>
      <c r="BC2" s="200"/>
      <c r="BD2" s="200"/>
    </row>
    <row r="3" spans="1:56" ht="11" customHeight="1" thickBot="1" x14ac:dyDescent="0.25">
      <c r="D3" s="200"/>
      <c r="E3" s="200"/>
      <c r="F3" s="200"/>
      <c r="G3" s="200"/>
      <c r="H3" s="200"/>
      <c r="I3" s="200"/>
      <c r="J3" s="200"/>
      <c r="K3" s="200"/>
      <c r="L3" s="200"/>
      <c r="M3" s="200"/>
      <c r="N3" s="200"/>
      <c r="O3" s="200"/>
      <c r="P3" s="200"/>
      <c r="Q3" s="200"/>
      <c r="R3" s="200"/>
      <c r="S3" s="200"/>
      <c r="U3" s="200"/>
      <c r="V3" s="200"/>
      <c r="W3" s="200"/>
      <c r="X3" s="200"/>
      <c r="Y3" s="200"/>
      <c r="Z3" s="200"/>
      <c r="AA3" s="200"/>
      <c r="AB3" s="200"/>
      <c r="AC3" s="200"/>
      <c r="AD3" s="200"/>
      <c r="AE3" s="200"/>
      <c r="AF3" s="200"/>
      <c r="AG3" s="200"/>
      <c r="AH3" s="248"/>
      <c r="AI3" s="248"/>
      <c r="AJ3" s="200"/>
      <c r="AK3" s="200"/>
      <c r="AL3" s="200"/>
      <c r="AM3" s="200"/>
      <c r="AN3" s="200"/>
      <c r="AO3" s="200"/>
      <c r="AP3" s="200"/>
      <c r="AQ3" s="200"/>
      <c r="AR3" s="200"/>
      <c r="AS3" s="200"/>
      <c r="AT3" s="200"/>
      <c r="AU3" s="200"/>
      <c r="AV3" s="200"/>
      <c r="AW3" s="200"/>
      <c r="AX3" s="200"/>
      <c r="AY3" s="200"/>
      <c r="AZ3" s="200"/>
      <c r="BA3" s="200"/>
      <c r="BB3" s="200"/>
      <c r="BC3" s="200"/>
      <c r="BD3" s="200"/>
    </row>
    <row r="4" spans="1:56" s="117" customFormat="1" ht="49" customHeight="1" x14ac:dyDescent="0.2">
      <c r="A4" s="301" t="s">
        <v>1</v>
      </c>
      <c r="B4" s="301" t="s">
        <v>14</v>
      </c>
      <c r="C4" s="303" t="s">
        <v>138</v>
      </c>
      <c r="D4" s="305" t="s">
        <v>209</v>
      </c>
      <c r="E4" s="306"/>
      <c r="F4" s="305" t="s">
        <v>16</v>
      </c>
      <c r="G4" s="307"/>
      <c r="H4" s="307"/>
      <c r="I4" s="306"/>
      <c r="J4" s="305" t="s">
        <v>172</v>
      </c>
      <c r="K4" s="306"/>
      <c r="L4" s="305" t="s">
        <v>177</v>
      </c>
      <c r="M4" s="306"/>
      <c r="N4" s="305" t="s">
        <v>253</v>
      </c>
      <c r="O4" s="306"/>
      <c r="P4" s="305" t="s">
        <v>173</v>
      </c>
      <c r="Q4" s="306"/>
      <c r="R4" s="305" t="s">
        <v>174</v>
      </c>
      <c r="S4" s="306"/>
      <c r="T4" s="305" t="s">
        <v>278</v>
      </c>
      <c r="U4" s="307"/>
      <c r="V4" s="306"/>
      <c r="W4" s="305" t="s">
        <v>279</v>
      </c>
      <c r="X4" s="307"/>
      <c r="Y4" s="307"/>
      <c r="Z4" s="306"/>
      <c r="AB4" s="310" t="s">
        <v>284</v>
      </c>
      <c r="AC4" s="311"/>
      <c r="AD4" s="311"/>
      <c r="AE4" s="311"/>
      <c r="AF4" s="311"/>
      <c r="AG4" s="311"/>
      <c r="AH4" s="308" t="s">
        <v>236</v>
      </c>
      <c r="AI4" s="308" t="s">
        <v>283</v>
      </c>
    </row>
    <row r="5" spans="1:56" s="33" customFormat="1" ht="67" customHeight="1" thickBot="1" x14ac:dyDescent="0.25">
      <c r="A5" s="302"/>
      <c r="B5" s="302"/>
      <c r="C5" s="304"/>
      <c r="D5" s="144" t="s">
        <v>180</v>
      </c>
      <c r="E5" s="145" t="s">
        <v>182</v>
      </c>
      <c r="F5" s="144" t="s">
        <v>190</v>
      </c>
      <c r="G5" s="146" t="s">
        <v>189</v>
      </c>
      <c r="H5" s="146" t="s">
        <v>24</v>
      </c>
      <c r="I5" s="145" t="s">
        <v>11</v>
      </c>
      <c r="J5" s="144" t="s">
        <v>255</v>
      </c>
      <c r="K5" s="145" t="s">
        <v>172</v>
      </c>
      <c r="L5" s="144" t="s">
        <v>183</v>
      </c>
      <c r="M5" s="145" t="s">
        <v>182</v>
      </c>
      <c r="N5" s="144" t="s">
        <v>230</v>
      </c>
      <c r="O5" s="145" t="s">
        <v>182</v>
      </c>
      <c r="P5" s="144" t="s">
        <v>187</v>
      </c>
      <c r="Q5" s="145" t="s">
        <v>193</v>
      </c>
      <c r="R5" s="144" t="s">
        <v>188</v>
      </c>
      <c r="S5" s="145" t="s">
        <v>194</v>
      </c>
      <c r="T5" s="144" t="s">
        <v>187</v>
      </c>
      <c r="U5" s="146" t="s">
        <v>248</v>
      </c>
      <c r="V5" s="145" t="s">
        <v>175</v>
      </c>
      <c r="W5" s="144" t="s">
        <v>195</v>
      </c>
      <c r="X5" s="146" t="s">
        <v>178</v>
      </c>
      <c r="Y5" s="146" t="s">
        <v>196</v>
      </c>
      <c r="Z5" s="145" t="s">
        <v>179</v>
      </c>
      <c r="AA5" s="144" t="s">
        <v>192</v>
      </c>
      <c r="AB5" s="261" t="s">
        <v>235</v>
      </c>
      <c r="AC5" s="262" t="s">
        <v>254</v>
      </c>
      <c r="AD5" s="262" t="s">
        <v>233</v>
      </c>
      <c r="AE5" s="262" t="s">
        <v>234</v>
      </c>
      <c r="AF5" s="262" t="s">
        <v>249</v>
      </c>
      <c r="AG5" s="266" t="s">
        <v>207</v>
      </c>
      <c r="AH5" s="309"/>
      <c r="AI5" s="309"/>
    </row>
    <row r="6" spans="1:56" x14ac:dyDescent="0.2">
      <c r="A6" s="98" t="s">
        <v>108</v>
      </c>
      <c r="B6" s="240" t="str">
        <f>VLOOKUP($A6,'Cost &amp; Benefit Inputs'!$A:$AM,2,0)</f>
        <v>ELECTRIC PROGRAMS</v>
      </c>
      <c r="C6" s="122" t="str">
        <f>VLOOKUP($A6,'Cost &amp; Benefit Inputs'!$A:$AM,3,0)</f>
        <v xml:space="preserve"> </v>
      </c>
      <c r="D6" s="118"/>
      <c r="E6" s="119"/>
      <c r="F6" s="111" t="str">
        <f t="shared" ref="F6:F37" si="0">IFERROR(H6/VLOOKUP(1,G:H,2,0),"")</f>
        <v/>
      </c>
      <c r="G6" s="99" t="str">
        <f t="shared" ref="G6:G37" si="1">IFERROR(RANK(H6,$H$6:$H$37,0),"")</f>
        <v/>
      </c>
      <c r="H6" s="101" t="str">
        <f>IF(ISBLANK(VLOOKUP($A6,'Cost &amp; Benefit Inputs'!$A:$AM,12,0)),"",VLOOKUP($A6,'Cost &amp; Benefit Inputs'!$A:$AM,12,0))</f>
        <v/>
      </c>
      <c r="I6" s="112" t="str">
        <f>IF(ISBLANK(VLOOKUP($A6,'Cost &amp; Benefit Inputs'!$A:$AM,13,0)),"",VLOOKUP($A6,'Cost &amp; Benefit Inputs'!$A:$AM,13,0))</f>
        <v/>
      </c>
      <c r="J6" s="102" t="str">
        <f>IF(K6="","",IF(K6&gt;2.75,"High",IF(K6&lt;1.2,"Too Low",IF(K6&lt;1.75,"Low","Med"))))</f>
        <v/>
      </c>
      <c r="K6" s="109" t="str">
        <f>VLOOKUP($A6,'Cost &amp; Benefit Inputs'!$A:$AM,17,0)</f>
        <v/>
      </c>
      <c r="L6" s="118"/>
      <c r="M6" s="119"/>
      <c r="N6" s="118"/>
      <c r="O6" s="119"/>
      <c r="P6" s="102" t="str">
        <f>IF(Q6="","",IF(Q6&gt;80%,"High",IF(Q6&lt;20%,"Low","Med")))</f>
        <v/>
      </c>
      <c r="Q6" s="104" t="str">
        <f>IFERROR(VLOOKUP($A6,'Cost &amp; Benefit Inputs'!$A:$AM,12,0)/VLOOKUP($A6,'Cost &amp; Benefit Inputs'!$A:$AM,13,0),"")</f>
        <v/>
      </c>
      <c r="R6" s="102" t="str">
        <f>IF(S6="","",IF(S6&gt;200%,"High",IF(S6&lt;=0,"Low","Med")))</f>
        <v/>
      </c>
      <c r="S6" s="104" t="str">
        <f>VLOOKUP($A6,'Cost &amp; Benefit Inputs'!$A:$AM,39,0)</f>
        <v/>
      </c>
      <c r="T6" s="102" t="str">
        <f>IF(U6="","",IF(U6&gt;80%,"High",IF(U6&lt;20%,"Low","Med")))</f>
        <v/>
      </c>
      <c r="U6" s="105" t="str">
        <f>IFERROR(VLOOKUP($A6,'Cost &amp; Benefit Inputs'!$A:$AM,28,0)/VLOOKUP($A6,'Cost &amp; Benefit Inputs'!$A:$AM,16,0),"")</f>
        <v/>
      </c>
      <c r="V6" s="104" t="str">
        <f>IFERROR(VLOOKUP($A6,'Cost &amp; Benefit Inputs'!$A:$AM,29,0)/VLOOKUP($A6,'Cost &amp; Benefit Inputs'!$A:$AM,16,0),"")</f>
        <v/>
      </c>
      <c r="W6" s="102" t="str">
        <f>IF(X6="","",IF(AND(X6&lt;50%,Y6&gt;0,Z6&gt;0),"High",IF(OR(Y6&gt;0,Z6&gt;0),"Med","Low")))</f>
        <v/>
      </c>
      <c r="X6" s="105" t="str">
        <f>IFERROR(VLOOKUP($A6,'Cost &amp; Benefit Inputs'!$A:$AM,31,0)/VLOOKUP($A6,'Cost &amp; Benefit Inputs'!$A:$AM,16,0),"")</f>
        <v/>
      </c>
      <c r="Y6" s="105" t="str">
        <f>IFERROR(VLOOKUP($A6,'Cost &amp; Benefit Inputs'!$A:$AM,32,0)/VLOOKUP($A6,'Cost &amp; Benefit Inputs'!$A:$AM,16,0),"")</f>
        <v/>
      </c>
      <c r="Z6" s="104" t="str">
        <f>IFERROR(VLOOKUP($A6,'Cost &amp; Benefit Inputs'!$A:$AM,33,0)/VLOOKUP($A6,'Cost &amp; Benefit Inputs'!$A:$AM,16,0),"")</f>
        <v/>
      </c>
      <c r="AA6" s="102" t="str">
        <f>IF('Cost &amp; Benefit Inputs'!Y8&gt;0,5,IF('Cost &amp; Benefit Inputs'!X8&gt;0,4,IF('Cost &amp; Benefit Inputs'!W8&gt;0,3,IF('Cost &amp; Benefit Inputs'!V8&gt;0,2,IF('Cost &amp; Benefit Inputs'!U8&gt;0,1,"")))))</f>
        <v/>
      </c>
      <c r="AB6" s="263">
        <f>COUNTA(AC6:AG6)*(1/5)</f>
        <v>0</v>
      </c>
      <c r="AC6" s="260"/>
      <c r="AD6" s="260"/>
      <c r="AE6" s="260"/>
      <c r="AF6" s="260"/>
      <c r="AG6" s="260"/>
      <c r="AH6" s="260"/>
      <c r="AI6" s="260"/>
    </row>
    <row r="7" spans="1:56" ht="32" x14ac:dyDescent="0.2">
      <c r="A7" s="98" t="s">
        <v>109</v>
      </c>
      <c r="B7" s="100" t="str">
        <f>VLOOKUP($A7,'Cost &amp; Benefit Inputs'!$A:$AM,2,0)</f>
        <v>Business Existing Facilities</v>
      </c>
      <c r="C7" s="122" t="str">
        <f>VLOOKUP($A7,'Cost &amp; Benefit Inputs'!$A:$AM,3,0)</f>
        <v>VEIC</v>
      </c>
      <c r="D7" s="118" t="s">
        <v>186</v>
      </c>
      <c r="E7" s="119" t="s">
        <v>216</v>
      </c>
      <c r="F7" s="111">
        <f t="shared" si="0"/>
        <v>0.5574951092237187</v>
      </c>
      <c r="G7" s="99">
        <f t="shared" si="1"/>
        <v>3</v>
      </c>
      <c r="H7" s="101">
        <f>IF(ISBLANK(VLOOKUP($A7,'Cost &amp; Benefit Inputs'!$A:$AM,15,0)),"",VLOOKUP($A7,'Cost &amp; Benefit Inputs'!$A:$AM,15,0))</f>
        <v>828295.76895441033</v>
      </c>
      <c r="I7" s="112">
        <f>IF(ISBLANK(VLOOKUP($A7,'Cost &amp; Benefit Inputs'!$A:$AM,16,0)),"",VLOOKUP($A7,'Cost &amp; Benefit Inputs'!$A:$AM,16,0))</f>
        <v>500000</v>
      </c>
      <c r="J7" s="108" t="str">
        <f>IF(K7="","",IF(K7&gt;2.7,"High",IF(K7&lt;1.2,"Too Low",IF(K7&lt;1.7,"Low","Med"))))</f>
        <v>Low</v>
      </c>
      <c r="K7" s="109">
        <f>VLOOKUP($A7,'Cost &amp; Benefit Inputs'!$A:$AM,17,0)</f>
        <v>1.6565915379088207</v>
      </c>
      <c r="L7" s="118" t="s">
        <v>184</v>
      </c>
      <c r="M7" s="119" t="s">
        <v>268</v>
      </c>
      <c r="N7" s="118" t="s">
        <v>185</v>
      </c>
      <c r="O7" s="119"/>
      <c r="P7" s="102" t="str">
        <f t="shared" ref="P7:P37" si="2">IF(Q7="","",IF(Q7&gt;80%,"High",IF(Q7&lt;20%,"Low","Med")))</f>
        <v>Med</v>
      </c>
      <c r="Q7" s="104">
        <f>IFERROR(VLOOKUP($A7,'Cost &amp; Benefit Inputs'!$A:$AM,12,0)/VLOOKUP($A7,'Cost &amp; Benefit Inputs'!$A:$AM,13,0),"")</f>
        <v>0.69387941627292127</v>
      </c>
      <c r="R7" s="102" t="str">
        <f t="shared" ref="R7:R37" si="3">IF(S7="","",IF(S7&gt;200%,"High",IF(S7&lt;=0,"Low","Med")))</f>
        <v>Med</v>
      </c>
      <c r="S7" s="104">
        <f>VLOOKUP($A7,'Cost &amp; Benefit Inputs'!$A:$AM,39,0)</f>
        <v>1.0906794055070497</v>
      </c>
      <c r="T7" s="102" t="str">
        <f t="shared" ref="T7:T37" si="4">IF(U7="","",IF(U7&gt;80%,"High",IF(U7&lt;20%,"Low","Med")))</f>
        <v>Low</v>
      </c>
      <c r="U7" s="105">
        <f>IFERROR(VLOOKUP($A7,'Cost &amp; Benefit Inputs'!$A:$AM,28,0)/VLOOKUP($A7,'Cost &amp; Benefit Inputs'!$A:$AM,16,0),"")</f>
        <v>0</v>
      </c>
      <c r="V7" s="104">
        <f>IFERROR(VLOOKUP($A7,'Cost &amp; Benefit Inputs'!$A:$AM,29,0)/VLOOKUP($A7,'Cost &amp; Benefit Inputs'!$A:$AM,16,0),"")</f>
        <v>1</v>
      </c>
      <c r="W7" s="102" t="str">
        <f t="shared" ref="W7:W37" si="5">IF(X7="","",IF(AND(X7&lt;50%,Y7&gt;0,Z7&gt;0),"High",IF(OR(Y7&gt;0,Z7&gt;0),"Med","Low")))</f>
        <v>Med</v>
      </c>
      <c r="X7" s="105">
        <f>IFERROR(VLOOKUP($A7,'Cost &amp; Benefit Inputs'!$A:$AM,31,0)/VLOOKUP($A7,'Cost &amp; Benefit Inputs'!$A:$AM,16,0),"")</f>
        <v>0</v>
      </c>
      <c r="Y7" s="105">
        <f>IFERROR(VLOOKUP($A7,'Cost &amp; Benefit Inputs'!$A:$AM,32,0)/VLOOKUP($A7,'Cost &amp; Benefit Inputs'!$A:$AM,16,0),"")</f>
        <v>1</v>
      </c>
      <c r="Z7" s="104">
        <f>IFERROR(VLOOKUP($A7,'Cost &amp; Benefit Inputs'!$A:$AM,33,0)/VLOOKUP($A7,'Cost &amp; Benefit Inputs'!$A:$AM,16,0),"")</f>
        <v>0</v>
      </c>
      <c r="AA7" s="102">
        <f>IF('Cost &amp; Benefit Inputs'!Y9&gt;0,5,IF('Cost &amp; Benefit Inputs'!X9&gt;0,4,IF('Cost &amp; Benefit Inputs'!W9&gt;0,3,IF('Cost &amp; Benefit Inputs'!V9&gt;0,2,IF('Cost &amp; Benefit Inputs'!U9&gt;0,1,"")))))</f>
        <v>5</v>
      </c>
      <c r="AB7" s="264">
        <f t="shared" ref="AB7:AB37" si="6">COUNTA(AC7:AG7)*(1/5)</f>
        <v>0.4</v>
      </c>
      <c r="AC7" s="222" t="s">
        <v>264</v>
      </c>
      <c r="AD7" s="222" t="s">
        <v>264</v>
      </c>
      <c r="AE7" s="222"/>
      <c r="AF7" s="222"/>
      <c r="AG7" s="222"/>
      <c r="AH7" s="222"/>
      <c r="AI7" s="222" t="s">
        <v>264</v>
      </c>
    </row>
    <row r="8" spans="1:56" ht="32" x14ac:dyDescent="0.2">
      <c r="A8" s="98" t="s">
        <v>110</v>
      </c>
      <c r="B8" s="280" t="str">
        <f>VLOOKUP($A8,'Cost &amp; Benefit Inputs'!$A:$AM,2,0)</f>
        <v>ZEN</v>
      </c>
      <c r="C8" s="122" t="str">
        <f>VLOOKUP($A8,'Cost &amp; Benefit Inputs'!$A:$AM,3,0)</f>
        <v>EFG</v>
      </c>
      <c r="D8" s="118" t="s">
        <v>186</v>
      </c>
      <c r="E8" s="119" t="s">
        <v>289</v>
      </c>
      <c r="F8" s="111">
        <f t="shared" si="0"/>
        <v>0.36651160802978405</v>
      </c>
      <c r="G8" s="99">
        <f t="shared" si="1"/>
        <v>4</v>
      </c>
      <c r="H8" s="101">
        <f>IF(ISBLANK(VLOOKUP($A8,'Cost &amp; Benefit Inputs'!$A:$AM,15,0)),"",VLOOKUP($A8,'Cost &amp; Benefit Inputs'!$A:$AM,15,0))</f>
        <v>544542.91917729273</v>
      </c>
      <c r="I8" s="112">
        <f>IF(ISBLANK(VLOOKUP($A8,'Cost &amp; Benefit Inputs'!$A:$AM,16,0)),"",VLOOKUP($A8,'Cost &amp; Benefit Inputs'!$A:$AM,16,0))</f>
        <v>118020.56084845592</v>
      </c>
      <c r="J8" s="108" t="str">
        <f t="shared" ref="J8:J37" si="7">IF(K8="","",IF(K8&gt;2.7,"High",IF(K8&lt;1.2,"Too Low",IF(K8&lt;1.7,"Low","Med"))))</f>
        <v>High</v>
      </c>
      <c r="K8" s="109">
        <f>VLOOKUP($A8,'Cost &amp; Benefit Inputs'!$A:$AM,17,0)</f>
        <v>4.6139665433086021</v>
      </c>
      <c r="L8" s="118" t="s">
        <v>191</v>
      </c>
      <c r="M8" s="119" t="s">
        <v>262</v>
      </c>
      <c r="N8" s="118" t="s">
        <v>184</v>
      </c>
      <c r="O8" s="119"/>
      <c r="P8" s="102" t="str">
        <f t="shared" si="2"/>
        <v>High</v>
      </c>
      <c r="Q8" s="104">
        <f>IFERROR(VLOOKUP($A8,'Cost &amp; Benefit Inputs'!$A:$AM,12,0)/VLOOKUP($A8,'Cost &amp; Benefit Inputs'!$A:$AM,13,0),"")</f>
        <v>0.90177299739698447</v>
      </c>
      <c r="R8" s="102" t="str">
        <f t="shared" si="3"/>
        <v>High</v>
      </c>
      <c r="S8" s="104">
        <f>VLOOKUP($A8,'Cost &amp; Benefit Inputs'!$A:$AM,39,0)</f>
        <v>5.900831466525398</v>
      </c>
      <c r="T8" s="102" t="str">
        <f t="shared" si="4"/>
        <v>Low</v>
      </c>
      <c r="U8" s="105">
        <f>IFERROR(VLOOKUP($A8,'Cost &amp; Benefit Inputs'!$A:$AM,28,0)/VLOOKUP($A8,'Cost &amp; Benefit Inputs'!$A:$AM,16,0),"")</f>
        <v>0</v>
      </c>
      <c r="V8" s="104">
        <f>IFERROR(VLOOKUP($A8,'Cost &amp; Benefit Inputs'!$A:$AM,29,0)/VLOOKUP($A8,'Cost &amp; Benefit Inputs'!$A:$AM,16,0),"")</f>
        <v>1</v>
      </c>
      <c r="W8" s="102" t="str">
        <f t="shared" si="5"/>
        <v>Low</v>
      </c>
      <c r="X8" s="105">
        <f>IFERROR(VLOOKUP($A8,'Cost &amp; Benefit Inputs'!$A:$AM,31,0)/VLOOKUP($A8,'Cost &amp; Benefit Inputs'!$A:$AM,16,0),"")</f>
        <v>1</v>
      </c>
      <c r="Y8" s="105">
        <f>IFERROR(VLOOKUP($A8,'Cost &amp; Benefit Inputs'!$A:$AM,32,0)/VLOOKUP($A8,'Cost &amp; Benefit Inputs'!$A:$AM,16,0),"")</f>
        <v>0</v>
      </c>
      <c r="Z8" s="104">
        <f>IFERROR(VLOOKUP($A8,'Cost &amp; Benefit Inputs'!$A:$AM,33,0)/VLOOKUP($A8,'Cost &amp; Benefit Inputs'!$A:$AM,16,0),"")</f>
        <v>0</v>
      </c>
      <c r="AA8" s="102">
        <f>IF('Cost &amp; Benefit Inputs'!Y10&gt;0,5,IF('Cost &amp; Benefit Inputs'!X10&gt;0,4,IF('Cost &amp; Benefit Inputs'!W10&gt;0,3,IF('Cost &amp; Benefit Inputs'!V10&gt;0,2,IF('Cost &amp; Benefit Inputs'!U10&gt;0,1,"")))))</f>
        <v>5</v>
      </c>
      <c r="AB8" s="264">
        <f t="shared" si="6"/>
        <v>0.60000000000000009</v>
      </c>
      <c r="AC8" s="222"/>
      <c r="AD8" s="222" t="s">
        <v>264</v>
      </c>
      <c r="AE8" s="222" t="s">
        <v>264</v>
      </c>
      <c r="AF8" s="222" t="s">
        <v>264</v>
      </c>
      <c r="AG8" s="222"/>
      <c r="AH8" s="222"/>
      <c r="AI8" s="222"/>
    </row>
    <row r="9" spans="1:56" x14ac:dyDescent="0.2">
      <c r="A9" s="98" t="s">
        <v>111</v>
      </c>
      <c r="B9" s="280">
        <f>VLOOKUP($A9,'Cost &amp; Benefit Inputs'!$A:$AM,2,0)</f>
        <v>0</v>
      </c>
      <c r="C9" s="122">
        <f>VLOOKUP($A9,'Cost &amp; Benefit Inputs'!$A:$AM,3,0)</f>
        <v>0</v>
      </c>
      <c r="D9" s="118"/>
      <c r="E9" s="119"/>
      <c r="F9" s="111" t="str">
        <f t="shared" si="0"/>
        <v/>
      </c>
      <c r="G9" s="99" t="str">
        <f t="shared" si="1"/>
        <v/>
      </c>
      <c r="H9" s="101" t="str">
        <f>IF(ISBLANK(VLOOKUP($A9,'Cost &amp; Benefit Inputs'!$A:$AM,15,0)),"",VLOOKUP($A9,'Cost &amp; Benefit Inputs'!$A:$AM,15,0))</f>
        <v/>
      </c>
      <c r="I9" s="112" t="str">
        <f>IF(ISBLANK(VLOOKUP($A9,'Cost &amp; Benefit Inputs'!$A:$AM,16,0)),"",VLOOKUP($A9,'Cost &amp; Benefit Inputs'!$A:$AM,16,0))</f>
        <v/>
      </c>
      <c r="J9" s="108" t="str">
        <f t="shared" si="7"/>
        <v/>
      </c>
      <c r="K9" s="109" t="str">
        <f>VLOOKUP($A9,'Cost &amp; Benefit Inputs'!$A:$AM,17,0)</f>
        <v/>
      </c>
      <c r="L9" s="118"/>
      <c r="M9" s="119"/>
      <c r="N9" s="118"/>
      <c r="O9" s="119"/>
      <c r="P9" s="102" t="str">
        <f t="shared" si="2"/>
        <v/>
      </c>
      <c r="Q9" s="104" t="str">
        <f>IFERROR(VLOOKUP($A9,'Cost &amp; Benefit Inputs'!$A:$AM,12,0)/VLOOKUP($A9,'Cost &amp; Benefit Inputs'!$A:$AM,13,0),"")</f>
        <v/>
      </c>
      <c r="R9" s="102" t="str">
        <f t="shared" si="3"/>
        <v/>
      </c>
      <c r="S9" s="104" t="str">
        <f>VLOOKUP($A9,'Cost &amp; Benefit Inputs'!$A:$AM,39,0)</f>
        <v/>
      </c>
      <c r="T9" s="102" t="str">
        <f t="shared" si="4"/>
        <v/>
      </c>
      <c r="U9" s="105" t="str">
        <f>IFERROR(VLOOKUP($A9,'Cost &amp; Benefit Inputs'!$A:$AM,28,0)/VLOOKUP($A9,'Cost &amp; Benefit Inputs'!$A:$AM,16,0),"")</f>
        <v/>
      </c>
      <c r="V9" s="104" t="str">
        <f>IFERROR(VLOOKUP($A9,'Cost &amp; Benefit Inputs'!$A:$AM,29,0)/VLOOKUP($A9,'Cost &amp; Benefit Inputs'!$A:$AM,16,0),"")</f>
        <v/>
      </c>
      <c r="W9" s="102" t="str">
        <f t="shared" si="5"/>
        <v/>
      </c>
      <c r="X9" s="105" t="str">
        <f>IFERROR(VLOOKUP($A9,'Cost &amp; Benefit Inputs'!$A:$AM,31,0)/VLOOKUP($A9,'Cost &amp; Benefit Inputs'!$A:$AM,16,0),"")</f>
        <v/>
      </c>
      <c r="Y9" s="105" t="str">
        <f>IFERROR(VLOOKUP($A9,'Cost &amp; Benefit Inputs'!$A:$AM,32,0)/VLOOKUP($A9,'Cost &amp; Benefit Inputs'!$A:$AM,16,0),"")</f>
        <v/>
      </c>
      <c r="Z9" s="104" t="str">
        <f>IFERROR(VLOOKUP($A9,'Cost &amp; Benefit Inputs'!$A:$AM,33,0)/VLOOKUP($A9,'Cost &amp; Benefit Inputs'!$A:$AM,16,0),"")</f>
        <v/>
      </c>
      <c r="AA9" s="102" t="str">
        <f>IF('Cost &amp; Benefit Inputs'!Y11&gt;0,5,IF('Cost &amp; Benefit Inputs'!X11&gt;0,4,IF('Cost &amp; Benefit Inputs'!W11&gt;0,3,IF('Cost &amp; Benefit Inputs'!V11&gt;0,2,IF('Cost &amp; Benefit Inputs'!U11&gt;0,1,"")))))</f>
        <v/>
      </c>
      <c r="AB9" s="264">
        <f t="shared" si="6"/>
        <v>0</v>
      </c>
      <c r="AC9" s="222"/>
      <c r="AD9" s="222"/>
      <c r="AE9" s="222"/>
      <c r="AF9" s="222"/>
      <c r="AG9" s="222"/>
      <c r="AH9" s="222"/>
      <c r="AI9" s="222"/>
    </row>
    <row r="10" spans="1:56" x14ac:dyDescent="0.2">
      <c r="A10" s="98" t="s">
        <v>112</v>
      </c>
      <c r="B10" s="219">
        <f>VLOOKUP($A10,'Cost &amp; Benefit Inputs'!$A:$AM,2,0)</f>
        <v>0</v>
      </c>
      <c r="C10" s="122">
        <f>VLOOKUP($A10,'Cost &amp; Benefit Inputs'!$A:$AM,3,0)</f>
        <v>0</v>
      </c>
      <c r="D10" s="118"/>
      <c r="E10" s="119"/>
      <c r="F10" s="111" t="str">
        <f t="shared" si="0"/>
        <v/>
      </c>
      <c r="G10" s="99" t="str">
        <f t="shared" si="1"/>
        <v/>
      </c>
      <c r="H10" s="101" t="str">
        <f>IF(ISBLANK(VLOOKUP($A10,'Cost &amp; Benefit Inputs'!$A:$AM,15,0)),"",VLOOKUP($A10,'Cost &amp; Benefit Inputs'!$A:$AM,15,0))</f>
        <v/>
      </c>
      <c r="I10" s="112" t="str">
        <f>IF(ISBLANK(VLOOKUP($A10,'Cost &amp; Benefit Inputs'!$A:$AM,16,0)),"",VLOOKUP($A10,'Cost &amp; Benefit Inputs'!$A:$AM,16,0))</f>
        <v/>
      </c>
      <c r="J10" s="108" t="str">
        <f t="shared" si="7"/>
        <v/>
      </c>
      <c r="K10" s="109" t="str">
        <f>VLOOKUP($A10,'Cost &amp; Benefit Inputs'!$A:$AM,17,0)</f>
        <v/>
      </c>
      <c r="L10" s="118"/>
      <c r="M10" s="119"/>
      <c r="N10" s="118"/>
      <c r="O10" s="119"/>
      <c r="P10" s="102" t="str">
        <f t="shared" si="2"/>
        <v/>
      </c>
      <c r="Q10" s="104" t="str">
        <f>IFERROR(VLOOKUP($A10,'Cost &amp; Benefit Inputs'!$A:$AM,12,0)/VLOOKUP($A10,'Cost &amp; Benefit Inputs'!$A:$AM,13,0),"")</f>
        <v/>
      </c>
      <c r="R10" s="102" t="str">
        <f t="shared" si="3"/>
        <v/>
      </c>
      <c r="S10" s="104" t="str">
        <f>VLOOKUP($A10,'Cost &amp; Benefit Inputs'!$A:$AM,39,0)</f>
        <v/>
      </c>
      <c r="T10" s="102" t="str">
        <f t="shared" si="4"/>
        <v/>
      </c>
      <c r="U10" s="105" t="str">
        <f>IFERROR(VLOOKUP($A10,'Cost &amp; Benefit Inputs'!$A:$AM,28,0)/VLOOKUP($A10,'Cost &amp; Benefit Inputs'!$A:$AM,16,0),"")</f>
        <v/>
      </c>
      <c r="V10" s="104" t="str">
        <f>IFERROR(VLOOKUP($A10,'Cost &amp; Benefit Inputs'!$A:$AM,29,0)/VLOOKUP($A10,'Cost &amp; Benefit Inputs'!$A:$AM,16,0),"")</f>
        <v/>
      </c>
      <c r="W10" s="102" t="str">
        <f t="shared" si="5"/>
        <v/>
      </c>
      <c r="X10" s="105" t="str">
        <f>IFERROR(VLOOKUP($A10,'Cost &amp; Benefit Inputs'!$A:$AM,31,0)/VLOOKUP($A10,'Cost &amp; Benefit Inputs'!$A:$AM,16,0),"")</f>
        <v/>
      </c>
      <c r="Y10" s="105" t="str">
        <f>IFERROR(VLOOKUP($A10,'Cost &amp; Benefit Inputs'!$A:$AM,32,0)/VLOOKUP($A10,'Cost &amp; Benefit Inputs'!$A:$AM,16,0),"")</f>
        <v/>
      </c>
      <c r="Z10" s="104" t="str">
        <f>IFERROR(VLOOKUP($A10,'Cost &amp; Benefit Inputs'!$A:$AM,33,0)/VLOOKUP($A10,'Cost &amp; Benefit Inputs'!$A:$AM,16,0),"")</f>
        <v/>
      </c>
      <c r="AA10" s="102" t="str">
        <f>IF('Cost &amp; Benefit Inputs'!Y12&gt;0,5,IF('Cost &amp; Benefit Inputs'!X12&gt;0,4,IF('Cost &amp; Benefit Inputs'!W12&gt;0,3,IF('Cost &amp; Benefit Inputs'!V12&gt;0,2,IF('Cost &amp; Benefit Inputs'!U12&gt;0,1,"")))))</f>
        <v/>
      </c>
      <c r="AB10" s="264">
        <f t="shared" si="6"/>
        <v>0</v>
      </c>
      <c r="AC10" s="222"/>
      <c r="AD10" s="222"/>
      <c r="AE10" s="222"/>
      <c r="AF10" s="222"/>
      <c r="AG10" s="222"/>
      <c r="AH10" s="222"/>
      <c r="AI10" s="222"/>
    </row>
    <row r="11" spans="1:56" x14ac:dyDescent="0.2">
      <c r="A11" s="98" t="s">
        <v>113</v>
      </c>
      <c r="B11" s="100">
        <f>VLOOKUP($A11,'Cost &amp; Benefit Inputs'!$A:$AM,2,0)</f>
        <v>0</v>
      </c>
      <c r="C11" s="122">
        <f>VLOOKUP($A11,'Cost &amp; Benefit Inputs'!$A:$AM,3,0)</f>
        <v>0</v>
      </c>
      <c r="D11" s="118"/>
      <c r="E11" s="119"/>
      <c r="F11" s="111" t="str">
        <f t="shared" ref="F11:F12" si="8">IFERROR(H11/VLOOKUP(1,G:H,2,0),"")</f>
        <v/>
      </c>
      <c r="G11" s="99" t="str">
        <f t="shared" ref="G11:G12" si="9">IFERROR(RANK(H11,$H$6:$H$37,0),"")</f>
        <v/>
      </c>
      <c r="H11" s="101" t="str">
        <f>IF(ISBLANK(VLOOKUP($A11,'Cost &amp; Benefit Inputs'!$A:$AM,15,0)),"",VLOOKUP($A11,'Cost &amp; Benefit Inputs'!$A:$AM,15,0))</f>
        <v/>
      </c>
      <c r="I11" s="112" t="str">
        <f>IF(ISBLANK(VLOOKUP($A11,'Cost &amp; Benefit Inputs'!$A:$AM,16,0)),"",VLOOKUP($A11,'Cost &amp; Benefit Inputs'!$A:$AM,16,0))</f>
        <v/>
      </c>
      <c r="J11" s="108" t="str">
        <f t="shared" ref="J11:J12" si="10">IF(K11="","",IF(K11&gt;2.7,"High",IF(K11&lt;1.2,"Too Low",IF(K11&lt;1.7,"Low","Med"))))</f>
        <v/>
      </c>
      <c r="K11" s="109" t="str">
        <f>VLOOKUP($A11,'Cost &amp; Benefit Inputs'!$A:$AM,17,0)</f>
        <v/>
      </c>
      <c r="L11" s="118"/>
      <c r="M11" s="119"/>
      <c r="N11" s="118"/>
      <c r="O11" s="119"/>
      <c r="P11" s="102" t="str">
        <f t="shared" ref="P11:P12" si="11">IF(Q11="","",IF(Q11&gt;80%,"High",IF(Q11&lt;20%,"Low","Med")))</f>
        <v/>
      </c>
      <c r="Q11" s="104" t="str">
        <f>IFERROR(VLOOKUP($A11,'Cost &amp; Benefit Inputs'!$A:$AM,12,0)/VLOOKUP($A11,'Cost &amp; Benefit Inputs'!$A:$AM,13,0),"")</f>
        <v/>
      </c>
      <c r="R11" s="102" t="str">
        <f t="shared" ref="R11:R12" si="12">IF(S11="","",IF(S11&gt;200%,"High",IF(S11&lt;=0,"Low","Med")))</f>
        <v/>
      </c>
      <c r="S11" s="104" t="str">
        <f>VLOOKUP($A11,'Cost &amp; Benefit Inputs'!$A:$AM,39,0)</f>
        <v/>
      </c>
      <c r="T11" s="102" t="str">
        <f t="shared" ref="T11:T12" si="13">IF(U11="","",IF(U11&gt;80%,"High",IF(U11&lt;20%,"Low","Med")))</f>
        <v/>
      </c>
      <c r="U11" s="105" t="str">
        <f>IFERROR(VLOOKUP($A11,'Cost &amp; Benefit Inputs'!$A:$AM,28,0)/VLOOKUP($A11,'Cost &amp; Benefit Inputs'!$A:$AM,16,0),"")</f>
        <v/>
      </c>
      <c r="V11" s="104" t="str">
        <f>IFERROR(VLOOKUP($A11,'Cost &amp; Benefit Inputs'!$A:$AM,29,0)/VLOOKUP($A11,'Cost &amp; Benefit Inputs'!$A:$AM,16,0),"")</f>
        <v/>
      </c>
      <c r="W11" s="102" t="str">
        <f t="shared" ref="W11:W12" si="14">IF(X11="","",IF(AND(X11&lt;50%,Y11&gt;0,Z11&gt;0),"High",IF(OR(Y11&gt;0,Z11&gt;0),"Med","Low")))</f>
        <v/>
      </c>
      <c r="X11" s="105" t="str">
        <f>IFERROR(VLOOKUP($A11,'Cost &amp; Benefit Inputs'!$A:$AM,31,0)/VLOOKUP($A11,'Cost &amp; Benefit Inputs'!$A:$AM,16,0),"")</f>
        <v/>
      </c>
      <c r="Y11" s="105" t="str">
        <f>IFERROR(VLOOKUP($A11,'Cost &amp; Benefit Inputs'!$A:$AM,32,0)/VLOOKUP($A11,'Cost &amp; Benefit Inputs'!$A:$AM,16,0),"")</f>
        <v/>
      </c>
      <c r="Z11" s="104" t="str">
        <f>IFERROR(VLOOKUP($A11,'Cost &amp; Benefit Inputs'!$A:$AM,33,0)/VLOOKUP($A11,'Cost &amp; Benefit Inputs'!$A:$AM,16,0),"")</f>
        <v/>
      </c>
      <c r="AA11" s="102" t="str">
        <f>IF('Cost &amp; Benefit Inputs'!Y13&gt;0,5,IF('Cost &amp; Benefit Inputs'!X13&gt;0,4,IF('Cost &amp; Benefit Inputs'!W13&gt;0,3,IF('Cost &amp; Benefit Inputs'!V13&gt;0,2,IF('Cost &amp; Benefit Inputs'!U13&gt;0,1,"")))))</f>
        <v/>
      </c>
      <c r="AB11" s="264">
        <f t="shared" ref="AB11:AB12" si="15">COUNTA(AC11:AG11)*(1/5)</f>
        <v>0</v>
      </c>
      <c r="AC11" s="222"/>
      <c r="AD11" s="222"/>
      <c r="AE11" s="222"/>
      <c r="AF11" s="222"/>
      <c r="AG11" s="222"/>
      <c r="AH11" s="222"/>
      <c r="AI11" s="222"/>
    </row>
    <row r="12" spans="1:56" x14ac:dyDescent="0.2">
      <c r="A12" s="98" t="s">
        <v>114</v>
      </c>
      <c r="B12" s="100">
        <f>VLOOKUP($A12,'Cost &amp; Benefit Inputs'!$A:$AM,2,0)</f>
        <v>0</v>
      </c>
      <c r="C12" s="122">
        <f>VLOOKUP($A12,'Cost &amp; Benefit Inputs'!$A:$AM,3,0)</f>
        <v>0</v>
      </c>
      <c r="D12" s="118"/>
      <c r="E12" s="119"/>
      <c r="F12" s="111" t="str">
        <f t="shared" si="8"/>
        <v/>
      </c>
      <c r="G12" s="99" t="str">
        <f t="shared" si="9"/>
        <v/>
      </c>
      <c r="H12" s="101" t="str">
        <f>IF(ISBLANK(VLOOKUP($A12,'Cost &amp; Benefit Inputs'!$A:$AM,15,0)),"",VLOOKUP($A12,'Cost &amp; Benefit Inputs'!$A:$AM,15,0))</f>
        <v/>
      </c>
      <c r="I12" s="112" t="str">
        <f>IF(ISBLANK(VLOOKUP($A12,'Cost &amp; Benefit Inputs'!$A:$AM,16,0)),"",VLOOKUP($A12,'Cost &amp; Benefit Inputs'!$A:$AM,16,0))</f>
        <v/>
      </c>
      <c r="J12" s="108" t="str">
        <f t="shared" si="10"/>
        <v/>
      </c>
      <c r="K12" s="109" t="str">
        <f>VLOOKUP($A12,'Cost &amp; Benefit Inputs'!$A:$AM,17,0)</f>
        <v/>
      </c>
      <c r="L12" s="118"/>
      <c r="M12" s="119"/>
      <c r="N12" s="118"/>
      <c r="O12" s="119"/>
      <c r="P12" s="102" t="str">
        <f t="shared" si="11"/>
        <v/>
      </c>
      <c r="Q12" s="104" t="str">
        <f>IFERROR(VLOOKUP($A12,'Cost &amp; Benefit Inputs'!$A:$AM,12,0)/VLOOKUP($A12,'Cost &amp; Benefit Inputs'!$A:$AM,13,0),"")</f>
        <v/>
      </c>
      <c r="R12" s="102" t="str">
        <f t="shared" si="12"/>
        <v/>
      </c>
      <c r="S12" s="104" t="str">
        <f>VLOOKUP($A12,'Cost &amp; Benefit Inputs'!$A:$AM,39,0)</f>
        <v/>
      </c>
      <c r="T12" s="102" t="str">
        <f t="shared" si="13"/>
        <v/>
      </c>
      <c r="U12" s="105" t="str">
        <f>IFERROR(VLOOKUP($A12,'Cost &amp; Benefit Inputs'!$A:$AM,28,0)/VLOOKUP($A12,'Cost &amp; Benefit Inputs'!$A:$AM,16,0),"")</f>
        <v/>
      </c>
      <c r="V12" s="104" t="str">
        <f>IFERROR(VLOOKUP($A12,'Cost &amp; Benefit Inputs'!$A:$AM,29,0)/VLOOKUP($A12,'Cost &amp; Benefit Inputs'!$A:$AM,16,0),"")</f>
        <v/>
      </c>
      <c r="W12" s="102" t="str">
        <f t="shared" si="14"/>
        <v/>
      </c>
      <c r="X12" s="105" t="str">
        <f>IFERROR(VLOOKUP($A12,'Cost &amp; Benefit Inputs'!$A:$AM,31,0)/VLOOKUP($A12,'Cost &amp; Benefit Inputs'!$A:$AM,16,0),"")</f>
        <v/>
      </c>
      <c r="Y12" s="105" t="str">
        <f>IFERROR(VLOOKUP($A12,'Cost &amp; Benefit Inputs'!$A:$AM,32,0)/VLOOKUP($A12,'Cost &amp; Benefit Inputs'!$A:$AM,16,0),"")</f>
        <v/>
      </c>
      <c r="Z12" s="104" t="str">
        <f>IFERROR(VLOOKUP($A12,'Cost &amp; Benefit Inputs'!$A:$AM,33,0)/VLOOKUP($A12,'Cost &amp; Benefit Inputs'!$A:$AM,16,0),"")</f>
        <v/>
      </c>
      <c r="AA12" s="102" t="str">
        <f>IF('Cost &amp; Benefit Inputs'!Y14&gt;0,5,IF('Cost &amp; Benefit Inputs'!X14&gt;0,4,IF('Cost &amp; Benefit Inputs'!W14&gt;0,3,IF('Cost &amp; Benefit Inputs'!V14&gt;0,2,IF('Cost &amp; Benefit Inputs'!U14&gt;0,1,"")))))</f>
        <v/>
      </c>
      <c r="AB12" s="264">
        <f t="shared" si="15"/>
        <v>0</v>
      </c>
      <c r="AC12" s="222"/>
      <c r="AD12" s="222"/>
      <c r="AE12" s="222"/>
      <c r="AF12" s="222"/>
      <c r="AG12" s="222"/>
      <c r="AH12" s="222"/>
      <c r="AI12" s="222"/>
    </row>
    <row r="13" spans="1:56" x14ac:dyDescent="0.2">
      <c r="A13" s="98" t="s">
        <v>115</v>
      </c>
      <c r="B13" s="219">
        <f>VLOOKUP($A13,'Cost &amp; Benefit Inputs'!$A:$AM,2,0)</f>
        <v>0</v>
      </c>
      <c r="C13" s="122">
        <f>VLOOKUP($A13,'Cost &amp; Benefit Inputs'!$A:$AM,3,0)</f>
        <v>0</v>
      </c>
      <c r="D13" s="118"/>
      <c r="E13" s="119"/>
      <c r="F13" s="111" t="str">
        <f t="shared" si="0"/>
        <v/>
      </c>
      <c r="G13" s="99" t="str">
        <f t="shared" si="1"/>
        <v/>
      </c>
      <c r="H13" s="101" t="str">
        <f>IF(ISBLANK(VLOOKUP($A13,'Cost &amp; Benefit Inputs'!$A:$AM,15,0)),"",VLOOKUP($A13,'Cost &amp; Benefit Inputs'!$A:$AM,15,0))</f>
        <v/>
      </c>
      <c r="I13" s="112" t="str">
        <f>IF(ISBLANK(VLOOKUP($A13,'Cost &amp; Benefit Inputs'!$A:$AM,16,0)),"",VLOOKUP($A13,'Cost &amp; Benefit Inputs'!$A:$AM,16,0))</f>
        <v/>
      </c>
      <c r="J13" s="108" t="str">
        <f t="shared" si="7"/>
        <v/>
      </c>
      <c r="K13" s="109" t="str">
        <f>VLOOKUP($A13,'Cost &amp; Benefit Inputs'!$A:$AM,17,0)</f>
        <v/>
      </c>
      <c r="L13" s="118"/>
      <c r="M13" s="119"/>
      <c r="N13" s="118"/>
      <c r="O13" s="119"/>
      <c r="P13" s="102" t="str">
        <f t="shared" si="2"/>
        <v/>
      </c>
      <c r="Q13" s="104" t="str">
        <f>IFERROR(VLOOKUP($A13,'Cost &amp; Benefit Inputs'!$A:$AM,12,0)/VLOOKUP($A13,'Cost &amp; Benefit Inputs'!$A:$AM,13,0),"")</f>
        <v/>
      </c>
      <c r="R13" s="102" t="str">
        <f t="shared" si="3"/>
        <v/>
      </c>
      <c r="S13" s="104" t="str">
        <f>VLOOKUP($A13,'Cost &amp; Benefit Inputs'!$A:$AM,39,0)</f>
        <v/>
      </c>
      <c r="T13" s="102" t="str">
        <f t="shared" si="4"/>
        <v/>
      </c>
      <c r="U13" s="105" t="str">
        <f>IFERROR(VLOOKUP($A13,'Cost &amp; Benefit Inputs'!$A:$AM,28,0)/VLOOKUP($A13,'Cost &amp; Benefit Inputs'!$A:$AM,16,0),"")</f>
        <v/>
      </c>
      <c r="V13" s="104" t="str">
        <f>IFERROR(VLOOKUP($A13,'Cost &amp; Benefit Inputs'!$A:$AM,29,0)/VLOOKUP($A13,'Cost &amp; Benefit Inputs'!$A:$AM,16,0),"")</f>
        <v/>
      </c>
      <c r="W13" s="102" t="str">
        <f t="shared" si="5"/>
        <v/>
      </c>
      <c r="X13" s="105" t="str">
        <f>IFERROR(VLOOKUP($A13,'Cost &amp; Benefit Inputs'!$A:$AM,31,0)/VLOOKUP($A13,'Cost &amp; Benefit Inputs'!$A:$AM,16,0),"")</f>
        <v/>
      </c>
      <c r="Y13" s="105" t="str">
        <f>IFERROR(VLOOKUP($A13,'Cost &amp; Benefit Inputs'!$A:$AM,32,0)/VLOOKUP($A13,'Cost &amp; Benefit Inputs'!$A:$AM,16,0),"")</f>
        <v/>
      </c>
      <c r="Z13" s="104" t="str">
        <f>IFERROR(VLOOKUP($A13,'Cost &amp; Benefit Inputs'!$A:$AM,33,0)/VLOOKUP($A13,'Cost &amp; Benefit Inputs'!$A:$AM,16,0),"")</f>
        <v/>
      </c>
      <c r="AA13" s="102" t="str">
        <f>IF('Cost &amp; Benefit Inputs'!Y15&gt;0,5,IF('Cost &amp; Benefit Inputs'!X15&gt;0,4,IF('Cost &amp; Benefit Inputs'!W15&gt;0,3,IF('Cost &amp; Benefit Inputs'!V15&gt;0,2,IF('Cost &amp; Benefit Inputs'!U15&gt;0,1,"")))))</f>
        <v/>
      </c>
      <c r="AB13" s="264">
        <f t="shared" si="6"/>
        <v>0</v>
      </c>
      <c r="AC13" s="222"/>
      <c r="AD13" s="222"/>
      <c r="AE13" s="222"/>
      <c r="AF13" s="222"/>
      <c r="AG13" s="222"/>
      <c r="AH13" s="222"/>
      <c r="AI13" s="222"/>
    </row>
    <row r="14" spans="1:56" x14ac:dyDescent="0.2">
      <c r="A14" s="98" t="s">
        <v>116</v>
      </c>
      <c r="B14" s="219">
        <f>VLOOKUP($A14,'Cost &amp; Benefit Inputs'!$A:$AM,2,0)</f>
        <v>0</v>
      </c>
      <c r="C14" s="122">
        <f>VLOOKUP($A14,'Cost &amp; Benefit Inputs'!$A:$AM,3,0)</f>
        <v>0</v>
      </c>
      <c r="D14" s="118"/>
      <c r="E14" s="119"/>
      <c r="F14" s="111" t="str">
        <f t="shared" si="0"/>
        <v/>
      </c>
      <c r="G14" s="99" t="str">
        <f t="shared" si="1"/>
        <v/>
      </c>
      <c r="H14" s="101" t="str">
        <f>IF(ISBLANK(VLOOKUP($A14,'Cost &amp; Benefit Inputs'!$A:$AM,15,0)),"",VLOOKUP($A14,'Cost &amp; Benefit Inputs'!$A:$AM,15,0))</f>
        <v/>
      </c>
      <c r="I14" s="112" t="str">
        <f>IF(ISBLANK(VLOOKUP($A14,'Cost &amp; Benefit Inputs'!$A:$AM,16,0)),"",VLOOKUP($A14,'Cost &amp; Benefit Inputs'!$A:$AM,16,0))</f>
        <v/>
      </c>
      <c r="J14" s="108" t="str">
        <f t="shared" si="7"/>
        <v/>
      </c>
      <c r="K14" s="109" t="str">
        <f>VLOOKUP($A14,'Cost &amp; Benefit Inputs'!$A:$AM,17,0)</f>
        <v/>
      </c>
      <c r="L14" s="118"/>
      <c r="M14" s="119"/>
      <c r="N14" s="118"/>
      <c r="O14" s="119"/>
      <c r="P14" s="102" t="str">
        <f t="shared" si="2"/>
        <v/>
      </c>
      <c r="Q14" s="104" t="str">
        <f>IFERROR(VLOOKUP($A14,'Cost &amp; Benefit Inputs'!$A:$AM,12,0)/VLOOKUP($A14,'Cost &amp; Benefit Inputs'!$A:$AM,13,0),"")</f>
        <v/>
      </c>
      <c r="R14" s="102" t="str">
        <f t="shared" si="3"/>
        <v/>
      </c>
      <c r="S14" s="104" t="str">
        <f>VLOOKUP($A14,'Cost &amp; Benefit Inputs'!$A:$AM,39,0)</f>
        <v/>
      </c>
      <c r="T14" s="102" t="str">
        <f t="shared" si="4"/>
        <v/>
      </c>
      <c r="U14" s="105" t="str">
        <f>IFERROR(VLOOKUP($A14,'Cost &amp; Benefit Inputs'!$A:$AM,28,0)/VLOOKUP($A14,'Cost &amp; Benefit Inputs'!$A:$AM,16,0),"")</f>
        <v/>
      </c>
      <c r="V14" s="104" t="str">
        <f>IFERROR(VLOOKUP($A14,'Cost &amp; Benefit Inputs'!$A:$AM,29,0)/VLOOKUP($A14,'Cost &amp; Benefit Inputs'!$A:$AM,16,0),"")</f>
        <v/>
      </c>
      <c r="W14" s="102" t="str">
        <f t="shared" si="5"/>
        <v/>
      </c>
      <c r="X14" s="105" t="str">
        <f>IFERROR(VLOOKUP($A14,'Cost &amp; Benefit Inputs'!$A:$AM,31,0)/VLOOKUP($A14,'Cost &amp; Benefit Inputs'!$A:$AM,16,0),"")</f>
        <v/>
      </c>
      <c r="Y14" s="105" t="str">
        <f>IFERROR(VLOOKUP($A14,'Cost &amp; Benefit Inputs'!$A:$AM,32,0)/VLOOKUP($A14,'Cost &amp; Benefit Inputs'!$A:$AM,16,0),"")</f>
        <v/>
      </c>
      <c r="Z14" s="104" t="str">
        <f>IFERROR(VLOOKUP($A14,'Cost &amp; Benefit Inputs'!$A:$AM,33,0)/VLOOKUP($A14,'Cost &amp; Benefit Inputs'!$A:$AM,16,0),"")</f>
        <v/>
      </c>
      <c r="AA14" s="102" t="str">
        <f>IF('Cost &amp; Benefit Inputs'!Y16&gt;0,5,IF('Cost &amp; Benefit Inputs'!X16&gt;0,4,IF('Cost &amp; Benefit Inputs'!W16&gt;0,3,IF('Cost &amp; Benefit Inputs'!V16&gt;0,2,IF('Cost &amp; Benefit Inputs'!U16&gt;0,1,"")))))</f>
        <v/>
      </c>
      <c r="AB14" s="264">
        <f t="shared" si="6"/>
        <v>0</v>
      </c>
      <c r="AC14" s="222"/>
      <c r="AD14" s="222"/>
      <c r="AE14" s="222"/>
      <c r="AF14" s="222"/>
      <c r="AG14" s="222"/>
      <c r="AH14" s="222"/>
      <c r="AI14" s="222"/>
    </row>
    <row r="15" spans="1:56" x14ac:dyDescent="0.2">
      <c r="A15" s="98" t="s">
        <v>117</v>
      </c>
      <c r="B15" s="284" t="str">
        <f>VLOOKUP($A15,'Cost &amp; Benefit Inputs'!$A:$AM,2,0)</f>
        <v>ELECTRIC AND THERMAL PROGRAMS</v>
      </c>
      <c r="C15" s="122">
        <f>VLOOKUP($A15,'Cost &amp; Benefit Inputs'!$A:$AM,3,0)</f>
        <v>0</v>
      </c>
      <c r="D15" s="118"/>
      <c r="E15" s="119"/>
      <c r="F15" s="111" t="str">
        <f t="shared" si="0"/>
        <v/>
      </c>
      <c r="G15" s="99" t="str">
        <f t="shared" si="1"/>
        <v/>
      </c>
      <c r="H15" s="101" t="str">
        <f>IF(ISBLANK(VLOOKUP($A15,'Cost &amp; Benefit Inputs'!$A:$AM,15,0)),"",VLOOKUP($A15,'Cost &amp; Benefit Inputs'!$A:$AM,15,0))</f>
        <v/>
      </c>
      <c r="I15" s="112" t="str">
        <f>IF(ISBLANK(VLOOKUP($A15,'Cost &amp; Benefit Inputs'!$A:$AM,16,0)),"",VLOOKUP($A15,'Cost &amp; Benefit Inputs'!$A:$AM,16,0))</f>
        <v/>
      </c>
      <c r="J15" s="108" t="str">
        <f t="shared" si="7"/>
        <v/>
      </c>
      <c r="K15" s="109" t="str">
        <f>VLOOKUP($A15,'Cost &amp; Benefit Inputs'!$A:$AM,17,0)</f>
        <v/>
      </c>
      <c r="L15" s="118"/>
      <c r="M15" s="119"/>
      <c r="N15" s="118"/>
      <c r="O15" s="119"/>
      <c r="P15" s="102" t="str">
        <f t="shared" ref="P15" si="16">IF(Q15="","",IF(Q15&gt;80%,"High",IF(Q15&lt;20%,"Low","Med")))</f>
        <v/>
      </c>
      <c r="Q15" s="104" t="str">
        <f>IFERROR(VLOOKUP($A15,'Cost &amp; Benefit Inputs'!$A:$AM,12,0)/VLOOKUP($A15,'Cost &amp; Benefit Inputs'!$A:$AM,13,0),"")</f>
        <v/>
      </c>
      <c r="R15" s="102" t="str">
        <f t="shared" ref="R15" si="17">IF(S15="","",IF(S15&gt;200%,"High",IF(S15&lt;=0,"Low","Med")))</f>
        <v/>
      </c>
      <c r="S15" s="104" t="str">
        <f>VLOOKUP($A15,'Cost &amp; Benefit Inputs'!$A:$AM,39,0)</f>
        <v/>
      </c>
      <c r="T15" s="102" t="str">
        <f t="shared" ref="T15" si="18">IF(U15="","",IF(U15&gt;80%,"High",IF(U15&lt;20%,"Low","Med")))</f>
        <v/>
      </c>
      <c r="U15" s="105" t="str">
        <f>IFERROR(VLOOKUP($A15,'Cost &amp; Benefit Inputs'!$A:$AM,28,0)/VLOOKUP($A15,'Cost &amp; Benefit Inputs'!$A:$AM,16,0),"")</f>
        <v/>
      </c>
      <c r="V15" s="104" t="str">
        <f>IFERROR(VLOOKUP($A15,'Cost &amp; Benefit Inputs'!$A:$AM,29,0)/VLOOKUP($A15,'Cost &amp; Benefit Inputs'!$A:$AM,16,0),"")</f>
        <v/>
      </c>
      <c r="W15" s="102" t="str">
        <f t="shared" ref="W15" si="19">IF(X15="","",IF(AND(X15&lt;50%,Y15&gt;0,Z15&gt;0),"High",IF(OR(Y15&gt;0,Z15&gt;0),"Med","Low")))</f>
        <v/>
      </c>
      <c r="X15" s="105" t="str">
        <f>IFERROR(VLOOKUP($A15,'Cost &amp; Benefit Inputs'!$A:$AM,31,0)/VLOOKUP($A15,'Cost &amp; Benefit Inputs'!$A:$AM,16,0),"")</f>
        <v/>
      </c>
      <c r="Y15" s="105" t="str">
        <f>IFERROR(VLOOKUP($A15,'Cost &amp; Benefit Inputs'!$A:$AM,32,0)/VLOOKUP($A15,'Cost &amp; Benefit Inputs'!$A:$AM,16,0),"")</f>
        <v/>
      </c>
      <c r="Z15" s="104" t="str">
        <f>IFERROR(VLOOKUP($A15,'Cost &amp; Benefit Inputs'!$A:$AM,33,0)/VLOOKUP($A15,'Cost &amp; Benefit Inputs'!$A:$AM,16,0),"")</f>
        <v/>
      </c>
      <c r="AA15" s="102" t="str">
        <f>IF('Cost &amp; Benefit Inputs'!Y17&gt;0,5,IF('Cost &amp; Benefit Inputs'!X17&gt;0,4,IF('Cost &amp; Benefit Inputs'!W17&gt;0,3,IF('Cost &amp; Benefit Inputs'!V17&gt;0,2,IF('Cost &amp; Benefit Inputs'!U17&gt;0,1,"")))))</f>
        <v/>
      </c>
      <c r="AB15" s="264">
        <f t="shared" ref="AB15" si="20">COUNTA(AC15:AG15)*(1/5)</f>
        <v>0</v>
      </c>
      <c r="AC15" s="222"/>
      <c r="AD15" s="222"/>
      <c r="AE15" s="222"/>
      <c r="AF15" s="222"/>
      <c r="AG15" s="222"/>
      <c r="AH15" s="222"/>
      <c r="AI15" s="222"/>
    </row>
    <row r="16" spans="1:56" ht="32" x14ac:dyDescent="0.2">
      <c r="A16" s="98" t="s">
        <v>118</v>
      </c>
      <c r="B16" s="219" t="str">
        <f>VLOOKUP($A16,'Cost &amp; Benefit Inputs'!$A:$AM,2,0)</f>
        <v>Residential Efficiency</v>
      </c>
      <c r="C16" s="122" t="str">
        <f>VLOOKUP($A16,'Cost &amp; Benefit Inputs'!$A:$AM,3,0)</f>
        <v>NWWVT</v>
      </c>
      <c r="D16" s="118" t="s">
        <v>186</v>
      </c>
      <c r="E16" s="119" t="s">
        <v>247</v>
      </c>
      <c r="F16" s="111">
        <f t="shared" si="0"/>
        <v>0.57786293395085142</v>
      </c>
      <c r="G16" s="99">
        <f t="shared" si="1"/>
        <v>2</v>
      </c>
      <c r="H16" s="101">
        <f>IF(ISBLANK(VLOOKUP($A16,'Cost &amp; Benefit Inputs'!$A:$AM,15,0)),"",VLOOKUP($A16,'Cost &amp; Benefit Inputs'!$A:$AM,15,0))</f>
        <v>858557.16993383842</v>
      </c>
      <c r="I16" s="112">
        <f>IF(ISBLANK(VLOOKUP($A16,'Cost &amp; Benefit Inputs'!$A:$AM,16,0)),"",VLOOKUP($A16,'Cost &amp; Benefit Inputs'!$A:$AM,16,0))</f>
        <v>399000</v>
      </c>
      <c r="J16" s="108" t="str">
        <f t="shared" si="7"/>
        <v>Med</v>
      </c>
      <c r="K16" s="109">
        <f>VLOOKUP($A16,'Cost &amp; Benefit Inputs'!$A:$AM,17,0)</f>
        <v>2.1517723557239057</v>
      </c>
      <c r="L16" s="118" t="s">
        <v>191</v>
      </c>
      <c r="M16" s="119" t="s">
        <v>262</v>
      </c>
      <c r="N16" s="118" t="s">
        <v>184</v>
      </c>
      <c r="O16" s="119"/>
      <c r="P16" s="102" t="str">
        <f t="shared" si="2"/>
        <v>Med</v>
      </c>
      <c r="Q16" s="104">
        <f>IFERROR(VLOOKUP($A16,'Cost &amp; Benefit Inputs'!$A:$AM,12,0)/VLOOKUP($A16,'Cost &amp; Benefit Inputs'!$A:$AM,13,0),"")</f>
        <v>0.70503597122302153</v>
      </c>
      <c r="R16" s="102" t="str">
        <f t="shared" si="3"/>
        <v>High</v>
      </c>
      <c r="S16" s="104">
        <f>VLOOKUP($A16,'Cost &amp; Benefit Inputs'!$A:$AM,39,0)</f>
        <v>3.3533834586466167</v>
      </c>
      <c r="T16" s="102" t="str">
        <f t="shared" si="4"/>
        <v>Med</v>
      </c>
      <c r="U16" s="105">
        <f>IFERROR(VLOOKUP($A16,'Cost &amp; Benefit Inputs'!$A:$AM,28,0)/VLOOKUP($A16,'Cost &amp; Benefit Inputs'!$A:$AM,16,0),"")</f>
        <v>0.5</v>
      </c>
      <c r="V16" s="104">
        <f>IFERROR(VLOOKUP($A16,'Cost &amp; Benefit Inputs'!$A:$AM,29,0)/VLOOKUP($A16,'Cost &amp; Benefit Inputs'!$A:$AM,16,0),"")</f>
        <v>0.5</v>
      </c>
      <c r="W16" s="102" t="str">
        <f t="shared" si="5"/>
        <v>Low</v>
      </c>
      <c r="X16" s="105">
        <f>IFERROR(VLOOKUP($A16,'Cost &amp; Benefit Inputs'!$A:$AM,31,0)/VLOOKUP($A16,'Cost &amp; Benefit Inputs'!$A:$AM,16,0),"")</f>
        <v>1</v>
      </c>
      <c r="Y16" s="105">
        <f>IFERROR(VLOOKUP($A16,'Cost &amp; Benefit Inputs'!$A:$AM,32,0)/VLOOKUP($A16,'Cost &amp; Benefit Inputs'!$A:$AM,16,0),"")</f>
        <v>0</v>
      </c>
      <c r="Z16" s="104">
        <f>IFERROR(VLOOKUP($A16,'Cost &amp; Benefit Inputs'!$A:$AM,33,0)/VLOOKUP($A16,'Cost &amp; Benefit Inputs'!$A:$AM,16,0),"")</f>
        <v>0</v>
      </c>
      <c r="AA16" s="102">
        <f>IF('Cost &amp; Benefit Inputs'!Y18&gt;0,5,IF('Cost &amp; Benefit Inputs'!X18&gt;0,4,IF('Cost &amp; Benefit Inputs'!W18&gt;0,3,IF('Cost &amp; Benefit Inputs'!V18&gt;0,2,IF('Cost &amp; Benefit Inputs'!U18&gt;0,1,"")))))</f>
        <v>5</v>
      </c>
      <c r="AB16" s="264">
        <f t="shared" si="6"/>
        <v>1</v>
      </c>
      <c r="AC16" s="222" t="s">
        <v>264</v>
      </c>
      <c r="AD16" s="222" t="s">
        <v>264</v>
      </c>
      <c r="AE16" s="222" t="s">
        <v>264</v>
      </c>
      <c r="AF16" s="222" t="s">
        <v>264</v>
      </c>
      <c r="AG16" s="222" t="s">
        <v>264</v>
      </c>
      <c r="AH16" s="222"/>
      <c r="AI16" s="222"/>
    </row>
    <row r="17" spans="1:35" x14ac:dyDescent="0.2">
      <c r="A17" s="98" t="s">
        <v>119</v>
      </c>
      <c r="B17" s="219">
        <f>VLOOKUP($A17,'Cost &amp; Benefit Inputs'!$A:$AM,2,0)</f>
        <v>0</v>
      </c>
      <c r="C17" s="122">
        <f>VLOOKUP($A17,'Cost &amp; Benefit Inputs'!$A:$AM,3,0)</f>
        <v>0</v>
      </c>
      <c r="D17" s="118"/>
      <c r="E17" s="119"/>
      <c r="F17" s="111" t="str">
        <f t="shared" si="0"/>
        <v/>
      </c>
      <c r="G17" s="99" t="str">
        <f t="shared" si="1"/>
        <v/>
      </c>
      <c r="H17" s="101" t="str">
        <f>IF(ISBLANK(VLOOKUP($A17,'Cost &amp; Benefit Inputs'!$A:$AM,15,0)),"",VLOOKUP($A17,'Cost &amp; Benefit Inputs'!$A:$AM,15,0))</f>
        <v/>
      </c>
      <c r="I17" s="112" t="str">
        <f>IF(ISBLANK(VLOOKUP($A17,'Cost &amp; Benefit Inputs'!$A:$AM,16,0)),"",VLOOKUP($A17,'Cost &amp; Benefit Inputs'!$A:$AM,16,0))</f>
        <v/>
      </c>
      <c r="J17" s="108" t="str">
        <f t="shared" si="7"/>
        <v/>
      </c>
      <c r="K17" s="109" t="str">
        <f>VLOOKUP($A17,'Cost &amp; Benefit Inputs'!$A:$AM,17,0)</f>
        <v/>
      </c>
      <c r="L17" s="118"/>
      <c r="M17" s="119"/>
      <c r="N17" s="118"/>
      <c r="O17" s="119"/>
      <c r="P17" s="102" t="str">
        <f t="shared" ref="P17" si="21">IF(Q17="","",IF(Q17&gt;80%,"High",IF(Q17&lt;20%,"Low","Med")))</f>
        <v/>
      </c>
      <c r="Q17" s="104" t="str">
        <f>IFERROR(VLOOKUP($A17,'Cost &amp; Benefit Inputs'!$A:$AM,12,0)/VLOOKUP($A17,'Cost &amp; Benefit Inputs'!$A:$AM,13,0),"")</f>
        <v/>
      </c>
      <c r="R17" s="102" t="str">
        <f t="shared" ref="R17" si="22">IF(S17="","",IF(S17&gt;200%,"High",IF(S17&lt;=0,"Low","Med")))</f>
        <v/>
      </c>
      <c r="S17" s="104" t="str">
        <f>VLOOKUP($A17,'Cost &amp; Benefit Inputs'!$A:$AM,39,0)</f>
        <v/>
      </c>
      <c r="T17" s="102" t="str">
        <f t="shared" ref="T17" si="23">IF(U17="","",IF(U17&gt;80%,"High",IF(U17&lt;20%,"Low","Med")))</f>
        <v/>
      </c>
      <c r="U17" s="105" t="str">
        <f>IFERROR(VLOOKUP($A17,'Cost &amp; Benefit Inputs'!$A:$AM,28,0)/VLOOKUP($A17,'Cost &amp; Benefit Inputs'!$A:$AM,16,0),"")</f>
        <v/>
      </c>
      <c r="V17" s="104" t="str">
        <f>IFERROR(VLOOKUP($A17,'Cost &amp; Benefit Inputs'!$A:$AM,29,0)/VLOOKUP($A17,'Cost &amp; Benefit Inputs'!$A:$AM,16,0),"")</f>
        <v/>
      </c>
      <c r="W17" s="102" t="str">
        <f t="shared" ref="W17" si="24">IF(X17="","",IF(AND(X17&lt;50%,Y17&gt;0,Z17&gt;0),"High",IF(OR(Y17&gt;0,Z17&gt;0),"Med","Low")))</f>
        <v/>
      </c>
      <c r="X17" s="105" t="str">
        <f>IFERROR(VLOOKUP($A17,'Cost &amp; Benefit Inputs'!$A:$AM,31,0)/VLOOKUP($A17,'Cost &amp; Benefit Inputs'!$A:$AM,16,0),"")</f>
        <v/>
      </c>
      <c r="Y17" s="105" t="str">
        <f>IFERROR(VLOOKUP($A17,'Cost &amp; Benefit Inputs'!$A:$AM,32,0)/VLOOKUP($A17,'Cost &amp; Benefit Inputs'!$A:$AM,16,0),"")</f>
        <v/>
      </c>
      <c r="Z17" s="104" t="str">
        <f>IFERROR(VLOOKUP($A17,'Cost &amp; Benefit Inputs'!$A:$AM,33,0)/VLOOKUP($A17,'Cost &amp; Benefit Inputs'!$A:$AM,16,0),"")</f>
        <v/>
      </c>
      <c r="AA17" s="102" t="str">
        <f>IF('Cost &amp; Benefit Inputs'!Y20&gt;0,5,IF('Cost &amp; Benefit Inputs'!X20&gt;0,4,IF('Cost &amp; Benefit Inputs'!W20&gt;0,3,IF('Cost &amp; Benefit Inputs'!V20&gt;0,2,IF('Cost &amp; Benefit Inputs'!U20&gt;0,1,"")))))</f>
        <v/>
      </c>
      <c r="AB17" s="264">
        <f t="shared" si="6"/>
        <v>0</v>
      </c>
      <c r="AC17" s="222"/>
      <c r="AD17" s="222"/>
      <c r="AE17" s="222"/>
      <c r="AF17" s="222"/>
      <c r="AG17" s="222"/>
      <c r="AH17" s="222"/>
      <c r="AI17" s="222"/>
    </row>
    <row r="18" spans="1:35" x14ac:dyDescent="0.2">
      <c r="A18" s="98" t="s">
        <v>120</v>
      </c>
      <c r="B18" s="219">
        <f>VLOOKUP($A18,'Cost &amp; Benefit Inputs'!$A:$AM,2,0)</f>
        <v>0</v>
      </c>
      <c r="C18" s="122">
        <f>VLOOKUP($A18,'Cost &amp; Benefit Inputs'!$A:$AM,3,0)</f>
        <v>0</v>
      </c>
      <c r="D18" s="118"/>
      <c r="E18" s="119"/>
      <c r="F18" s="111" t="str">
        <f t="shared" si="0"/>
        <v/>
      </c>
      <c r="G18" s="99" t="str">
        <f t="shared" si="1"/>
        <v/>
      </c>
      <c r="H18" s="101" t="str">
        <f>IF(ISBLANK(VLOOKUP($A18,'Cost &amp; Benefit Inputs'!$A:$AM,15,0)),"",VLOOKUP($A18,'Cost &amp; Benefit Inputs'!$A:$AM,15,0))</f>
        <v/>
      </c>
      <c r="I18" s="112" t="str">
        <f>IF(ISBLANK(VLOOKUP($A18,'Cost &amp; Benefit Inputs'!$A:$AM,16,0)),"",VLOOKUP($A18,'Cost &amp; Benefit Inputs'!$A:$AM,16,0))</f>
        <v/>
      </c>
      <c r="J18" s="108" t="str">
        <f t="shared" si="7"/>
        <v/>
      </c>
      <c r="K18" s="109" t="str">
        <f>VLOOKUP($A18,'Cost &amp; Benefit Inputs'!$A:$AM,17,0)</f>
        <v/>
      </c>
      <c r="L18" s="118"/>
      <c r="M18" s="119"/>
      <c r="N18" s="118"/>
      <c r="O18" s="119"/>
      <c r="P18" s="102" t="str">
        <f t="shared" si="2"/>
        <v/>
      </c>
      <c r="Q18" s="104" t="str">
        <f>IFERROR(VLOOKUP($A18,'Cost &amp; Benefit Inputs'!$A:$AM,12,0)/VLOOKUP($A18,'Cost &amp; Benefit Inputs'!$A:$AM,13,0),"")</f>
        <v/>
      </c>
      <c r="R18" s="102" t="str">
        <f t="shared" si="3"/>
        <v/>
      </c>
      <c r="S18" s="104" t="str">
        <f>VLOOKUP($A18,'Cost &amp; Benefit Inputs'!$A:$AM,39,0)</f>
        <v/>
      </c>
      <c r="T18" s="102" t="str">
        <f t="shared" si="4"/>
        <v/>
      </c>
      <c r="U18" s="105" t="str">
        <f>IFERROR(VLOOKUP($A18,'Cost &amp; Benefit Inputs'!$A:$AM,28,0)/VLOOKUP($A18,'Cost &amp; Benefit Inputs'!$A:$AM,16,0),"")</f>
        <v/>
      </c>
      <c r="V18" s="104" t="str">
        <f>IFERROR(VLOOKUP($A18,'Cost &amp; Benefit Inputs'!$A:$AM,29,0)/VLOOKUP($A18,'Cost &amp; Benefit Inputs'!$A:$AM,16,0),"")</f>
        <v/>
      </c>
      <c r="W18" s="102" t="str">
        <f t="shared" si="5"/>
        <v/>
      </c>
      <c r="X18" s="105" t="str">
        <f>IFERROR(VLOOKUP($A18,'Cost &amp; Benefit Inputs'!$A:$AM,31,0)/VLOOKUP($A18,'Cost &amp; Benefit Inputs'!$A:$AM,16,0),"")</f>
        <v/>
      </c>
      <c r="Y18" s="105" t="str">
        <f>IFERROR(VLOOKUP($A18,'Cost &amp; Benefit Inputs'!$A:$AM,32,0)/VLOOKUP($A18,'Cost &amp; Benefit Inputs'!$A:$AM,16,0),"")</f>
        <v/>
      </c>
      <c r="Z18" s="104" t="str">
        <f>IFERROR(VLOOKUP($A18,'Cost &amp; Benefit Inputs'!$A:$AM,33,0)/VLOOKUP($A18,'Cost &amp; Benefit Inputs'!$A:$AM,16,0),"")</f>
        <v/>
      </c>
      <c r="AA18" s="102" t="str">
        <f>IF('Cost &amp; Benefit Inputs'!Y20&gt;0,5,IF('Cost &amp; Benefit Inputs'!X20&gt;0,4,IF('Cost &amp; Benefit Inputs'!W20&gt;0,3,IF('Cost &amp; Benefit Inputs'!V20&gt;0,2,IF('Cost &amp; Benefit Inputs'!U20&gt;0,1,"")))))</f>
        <v/>
      </c>
      <c r="AB18" s="264">
        <f t="shared" si="6"/>
        <v>0</v>
      </c>
      <c r="AC18" s="222"/>
      <c r="AD18" s="222"/>
      <c r="AE18" s="222"/>
      <c r="AF18" s="222"/>
      <c r="AG18" s="222"/>
      <c r="AH18" s="222"/>
      <c r="AI18" s="222"/>
    </row>
    <row r="19" spans="1:35" x14ac:dyDescent="0.2">
      <c r="A19" s="98" t="s">
        <v>121</v>
      </c>
      <c r="B19" s="284" t="str">
        <f>VLOOKUP($A19,'Cost &amp; Benefit Inputs'!$A:$AM,2,0)</f>
        <v>THERMAL PROGRAM</v>
      </c>
      <c r="C19" s="122">
        <f>VLOOKUP($A19,'Cost &amp; Benefit Inputs'!$A:$AM,3,0)</f>
        <v>0</v>
      </c>
      <c r="D19" s="118"/>
      <c r="E19" s="119"/>
      <c r="F19" s="111" t="str">
        <f t="shared" si="0"/>
        <v/>
      </c>
      <c r="G19" s="99" t="str">
        <f t="shared" si="1"/>
        <v/>
      </c>
      <c r="H19" s="101" t="str">
        <f>IF(ISBLANK(VLOOKUP($A19,'Cost &amp; Benefit Inputs'!$A:$AM,15,0)),"",VLOOKUP($A19,'Cost &amp; Benefit Inputs'!$A:$AM,15,0))</f>
        <v/>
      </c>
      <c r="I19" s="112" t="str">
        <f>IF(ISBLANK(VLOOKUP($A19,'Cost &amp; Benefit Inputs'!$A:$AM,16,0)),"",VLOOKUP($A19,'Cost &amp; Benefit Inputs'!$A:$AM,16,0))</f>
        <v/>
      </c>
      <c r="J19" s="108" t="str">
        <f t="shared" si="7"/>
        <v/>
      </c>
      <c r="K19" s="109" t="str">
        <f>VLOOKUP($A19,'Cost &amp; Benefit Inputs'!$A:$AM,17,0)</f>
        <v/>
      </c>
      <c r="L19" s="118"/>
      <c r="M19" s="119"/>
      <c r="N19" s="118"/>
      <c r="O19" s="119"/>
      <c r="P19" s="102" t="str">
        <f t="shared" ref="P19" si="25">IF(Q19="","",IF(Q19&gt;80%,"High",IF(Q19&lt;20%,"Low","Med")))</f>
        <v/>
      </c>
      <c r="Q19" s="104" t="str">
        <f>IFERROR(VLOOKUP($A19,'Cost &amp; Benefit Inputs'!$A:$AM,12,0)/VLOOKUP($A19,'Cost &amp; Benefit Inputs'!$A:$AM,13,0),"")</f>
        <v/>
      </c>
      <c r="R19" s="102" t="str">
        <f t="shared" ref="R19" si="26">IF(S19="","",IF(S19&gt;200%,"High",IF(S19&lt;=0,"Low","Med")))</f>
        <v/>
      </c>
      <c r="S19" s="104" t="str">
        <f>VLOOKUP($A19,'Cost &amp; Benefit Inputs'!$A:$AM,39,0)</f>
        <v/>
      </c>
      <c r="T19" s="102" t="str">
        <f t="shared" ref="T19" si="27">IF(U19="","",IF(U19&gt;80%,"High",IF(U19&lt;20%,"Low","Med")))</f>
        <v/>
      </c>
      <c r="U19" s="105" t="str">
        <f>IFERROR(VLOOKUP($A19,'Cost &amp; Benefit Inputs'!$A:$AM,28,0)/VLOOKUP($A19,'Cost &amp; Benefit Inputs'!$A:$AM,16,0),"")</f>
        <v/>
      </c>
      <c r="V19" s="104" t="str">
        <f>IFERROR(VLOOKUP($A19,'Cost &amp; Benefit Inputs'!$A:$AM,29,0)/VLOOKUP($A19,'Cost &amp; Benefit Inputs'!$A:$AM,16,0),"")</f>
        <v/>
      </c>
      <c r="W19" s="102" t="str">
        <f t="shared" ref="W19" si="28">IF(X19="","",IF(AND(X19&lt;50%,Y19&gt;0,Z19&gt;0),"High",IF(OR(Y19&gt;0,Z19&gt;0),"Med","Low")))</f>
        <v/>
      </c>
      <c r="X19" s="105" t="str">
        <f>IFERROR(VLOOKUP($A19,'Cost &amp; Benefit Inputs'!$A:$AM,31,0)/VLOOKUP($A19,'Cost &amp; Benefit Inputs'!$A:$AM,16,0),"")</f>
        <v/>
      </c>
      <c r="Y19" s="105" t="str">
        <f>IFERROR(VLOOKUP($A19,'Cost &amp; Benefit Inputs'!$A:$AM,32,0)/VLOOKUP($A19,'Cost &amp; Benefit Inputs'!$A:$AM,16,0),"")</f>
        <v/>
      </c>
      <c r="Z19" s="104" t="str">
        <f>IFERROR(VLOOKUP($A19,'Cost &amp; Benefit Inputs'!$A:$AM,33,0)/VLOOKUP($A19,'Cost &amp; Benefit Inputs'!$A:$AM,16,0),"")</f>
        <v/>
      </c>
      <c r="AA19" s="102" t="str">
        <f>IF('Cost &amp; Benefit Inputs'!Y21&gt;0,5,IF('Cost &amp; Benefit Inputs'!X21&gt;0,4,IF('Cost &amp; Benefit Inputs'!W21&gt;0,3,IF('Cost &amp; Benefit Inputs'!V21&gt;0,2,IF('Cost &amp; Benefit Inputs'!U21&gt;0,1,"")))))</f>
        <v/>
      </c>
      <c r="AB19" s="264">
        <f t="shared" si="6"/>
        <v>0</v>
      </c>
      <c r="AC19" s="222"/>
      <c r="AD19" s="222"/>
      <c r="AE19" s="222"/>
      <c r="AF19" s="222"/>
      <c r="AG19" s="222"/>
      <c r="AH19" s="222"/>
      <c r="AI19" s="222"/>
    </row>
    <row r="20" spans="1:35" ht="32" x14ac:dyDescent="0.2">
      <c r="A20" s="98" t="s">
        <v>122</v>
      </c>
      <c r="B20" s="100" t="str">
        <f>VLOOKUP($A20,'Cost &amp; Benefit Inputs'!$A:$AM,2,0)</f>
        <v>Enhanced Maple Sap Preheater Program</v>
      </c>
      <c r="C20" s="122" t="str">
        <f>VLOOKUP($A20,'Cost &amp; Benefit Inputs'!$A:$AM,3,0)</f>
        <v>EnSave</v>
      </c>
      <c r="D20" s="118" t="s">
        <v>186</v>
      </c>
      <c r="E20" s="119" t="s">
        <v>261</v>
      </c>
      <c r="F20" s="111">
        <f t="shared" si="0"/>
        <v>1</v>
      </c>
      <c r="G20" s="99">
        <f t="shared" si="1"/>
        <v>1</v>
      </c>
      <c r="H20" s="101">
        <f>IF(ISBLANK(VLOOKUP($A20,'Cost &amp; Benefit Inputs'!$A:$AM,15,0)),"",VLOOKUP($A20,'Cost &amp; Benefit Inputs'!$A:$AM,15,0))</f>
        <v>1485745.354982157</v>
      </c>
      <c r="I20" s="112">
        <f>IF(ISBLANK(VLOOKUP($A20,'Cost &amp; Benefit Inputs'!$A:$AM,16,0)),"",VLOOKUP($A20,'Cost &amp; Benefit Inputs'!$A:$AM,16,0))</f>
        <v>420160</v>
      </c>
      <c r="J20" s="108" t="str">
        <f t="shared" si="7"/>
        <v>High</v>
      </c>
      <c r="K20" s="109">
        <f>VLOOKUP($A20,'Cost &amp; Benefit Inputs'!$A:$AM,17,0)</f>
        <v>3.5361418387808383</v>
      </c>
      <c r="L20" s="118" t="s">
        <v>184</v>
      </c>
      <c r="M20" s="119" t="s">
        <v>290</v>
      </c>
      <c r="N20" s="118" t="s">
        <v>185</v>
      </c>
      <c r="O20" s="119"/>
      <c r="P20" s="102" t="str">
        <f t="shared" si="2"/>
        <v>Med</v>
      </c>
      <c r="Q20" s="104">
        <f>IFERROR(VLOOKUP($A20,'Cost &amp; Benefit Inputs'!$A:$AM,12,0)/VLOOKUP($A20,'Cost &amp; Benefit Inputs'!$A:$AM,13,0),"")</f>
        <v>0.59977091397424753</v>
      </c>
      <c r="R20" s="102" t="str">
        <f t="shared" si="3"/>
        <v>Med</v>
      </c>
      <c r="S20" s="104">
        <f>VLOOKUP($A20,'Cost &amp; Benefit Inputs'!$A:$AM,39,0)</f>
        <v>0.20515993907083016</v>
      </c>
      <c r="T20" s="102" t="str">
        <f t="shared" si="4"/>
        <v>High</v>
      </c>
      <c r="U20" s="105">
        <f>IFERROR(VLOOKUP($A20,'Cost &amp; Benefit Inputs'!$A:$AM,28,0)/VLOOKUP($A20,'Cost &amp; Benefit Inputs'!$A:$AM,16,0),"")</f>
        <v>1</v>
      </c>
      <c r="V20" s="104">
        <f>IFERROR(VLOOKUP($A20,'Cost &amp; Benefit Inputs'!$A:$AM,29,0)/VLOOKUP($A20,'Cost &amp; Benefit Inputs'!$A:$AM,16,0),"")</f>
        <v>0</v>
      </c>
      <c r="W20" s="102" t="str">
        <f t="shared" si="5"/>
        <v>Med</v>
      </c>
      <c r="X20" s="105">
        <f>IFERROR(VLOOKUP($A20,'Cost &amp; Benefit Inputs'!$A:$AM,31,0)/VLOOKUP($A20,'Cost &amp; Benefit Inputs'!$A:$AM,16,0),"")</f>
        <v>0</v>
      </c>
      <c r="Y20" s="105">
        <f>IFERROR(VLOOKUP($A20,'Cost &amp; Benefit Inputs'!$A:$AM,32,0)/VLOOKUP($A20,'Cost &amp; Benefit Inputs'!$A:$AM,16,0),"")</f>
        <v>1</v>
      </c>
      <c r="Z20" s="104">
        <f>IFERROR(VLOOKUP($A20,'Cost &amp; Benefit Inputs'!$A:$AM,33,0)/VLOOKUP($A20,'Cost &amp; Benefit Inputs'!$A:$AM,16,0),"")</f>
        <v>0</v>
      </c>
      <c r="AA20" s="102">
        <f>IF('Cost &amp; Benefit Inputs'!Y22&gt;0,5,IF('Cost &amp; Benefit Inputs'!X22&gt;0,4,IF('Cost &amp; Benefit Inputs'!W22&gt;0,3,IF('Cost &amp; Benefit Inputs'!V22&gt;0,2,IF('Cost &amp; Benefit Inputs'!U22&gt;0,1,"")))))</f>
        <v>5</v>
      </c>
      <c r="AB20" s="264">
        <f t="shared" si="6"/>
        <v>0.4</v>
      </c>
      <c r="AC20" s="222"/>
      <c r="AD20" s="222"/>
      <c r="AE20" s="222" t="s">
        <v>264</v>
      </c>
      <c r="AF20" s="222" t="s">
        <v>264</v>
      </c>
      <c r="AG20" s="222"/>
      <c r="AH20" s="222"/>
      <c r="AI20" s="222" t="s">
        <v>264</v>
      </c>
    </row>
    <row r="21" spans="1:35" x14ac:dyDescent="0.2">
      <c r="A21" s="98" t="s">
        <v>123</v>
      </c>
      <c r="B21" s="100">
        <f>VLOOKUP($A21,'Cost &amp; Benefit Inputs'!$A:$AM,2,0)</f>
        <v>0</v>
      </c>
      <c r="C21" s="122">
        <f>VLOOKUP($A21,'Cost &amp; Benefit Inputs'!$A:$AM,3,0)</f>
        <v>0</v>
      </c>
      <c r="D21" s="118"/>
      <c r="E21" s="119"/>
      <c r="F21" s="111" t="str">
        <f t="shared" si="0"/>
        <v/>
      </c>
      <c r="G21" s="99" t="str">
        <f t="shared" si="1"/>
        <v/>
      </c>
      <c r="H21" s="101" t="str">
        <f>IF(ISBLANK(VLOOKUP($A21,'Cost &amp; Benefit Inputs'!$A:$AM,15,0)),"",VLOOKUP($A21,'Cost &amp; Benefit Inputs'!$A:$AM,15,0))</f>
        <v/>
      </c>
      <c r="I21" s="112" t="str">
        <f>IF(ISBLANK(VLOOKUP($A21,'Cost &amp; Benefit Inputs'!$A:$AM,16,0)),"",VLOOKUP($A21,'Cost &amp; Benefit Inputs'!$A:$AM,16,0))</f>
        <v/>
      </c>
      <c r="J21" s="108" t="str">
        <f t="shared" si="7"/>
        <v/>
      </c>
      <c r="K21" s="109" t="str">
        <f>VLOOKUP($A21,'Cost &amp; Benefit Inputs'!$A:$AM,17,0)</f>
        <v/>
      </c>
      <c r="L21" s="118"/>
      <c r="M21" s="119"/>
      <c r="N21" s="118"/>
      <c r="O21" s="119"/>
      <c r="P21" s="102" t="str">
        <f t="shared" si="2"/>
        <v/>
      </c>
      <c r="Q21" s="104" t="str">
        <f>IFERROR(VLOOKUP($A21,'Cost &amp; Benefit Inputs'!$A:$AM,12,0)/VLOOKUP($A21,'Cost &amp; Benefit Inputs'!$A:$AM,13,0),"")</f>
        <v/>
      </c>
      <c r="R21" s="102" t="str">
        <f t="shared" si="3"/>
        <v/>
      </c>
      <c r="S21" s="104" t="str">
        <f>VLOOKUP($A21,'Cost &amp; Benefit Inputs'!$A:$AM,39,0)</f>
        <v/>
      </c>
      <c r="T21" s="102" t="str">
        <f t="shared" si="4"/>
        <v/>
      </c>
      <c r="U21" s="105" t="str">
        <f>IFERROR(VLOOKUP($A21,'Cost &amp; Benefit Inputs'!$A:$AM,28,0)/VLOOKUP($A21,'Cost &amp; Benefit Inputs'!$A:$AM,16,0),"")</f>
        <v/>
      </c>
      <c r="V21" s="104" t="str">
        <f>IFERROR(VLOOKUP($A21,'Cost &amp; Benefit Inputs'!$A:$AM,29,0)/VLOOKUP($A21,'Cost &amp; Benefit Inputs'!$A:$AM,16,0),"")</f>
        <v/>
      </c>
      <c r="W21" s="102" t="str">
        <f t="shared" si="5"/>
        <v/>
      </c>
      <c r="X21" s="105" t="str">
        <f>IFERROR(VLOOKUP($A21,'Cost &amp; Benefit Inputs'!$A:$AM,31,0)/VLOOKUP($A21,'Cost &amp; Benefit Inputs'!$A:$AM,16,0),"")</f>
        <v/>
      </c>
      <c r="Y21" s="105" t="str">
        <f>IFERROR(VLOOKUP($A21,'Cost &amp; Benefit Inputs'!$A:$AM,32,0)/VLOOKUP($A21,'Cost &amp; Benefit Inputs'!$A:$AM,16,0),"")</f>
        <v/>
      </c>
      <c r="Z21" s="104" t="str">
        <f>IFERROR(VLOOKUP($A21,'Cost &amp; Benefit Inputs'!$A:$AM,33,0)/VLOOKUP($A21,'Cost &amp; Benefit Inputs'!$A:$AM,16,0),"")</f>
        <v/>
      </c>
      <c r="AA21" s="102" t="str">
        <f>IF('Cost &amp; Benefit Inputs'!Y23&gt;0,5,IF('Cost &amp; Benefit Inputs'!X23&gt;0,4,IF('Cost &amp; Benefit Inputs'!W23&gt;0,3,IF('Cost &amp; Benefit Inputs'!V23&gt;0,2,IF('Cost &amp; Benefit Inputs'!U23&gt;0,1,"")))))</f>
        <v/>
      </c>
      <c r="AB21" s="264">
        <f t="shared" si="6"/>
        <v>0</v>
      </c>
      <c r="AC21" s="222"/>
      <c r="AD21" s="222"/>
      <c r="AE21" s="222"/>
      <c r="AF21" s="222"/>
      <c r="AG21" s="222"/>
      <c r="AH21" s="222"/>
      <c r="AI21" s="222"/>
    </row>
    <row r="22" spans="1:35" x14ac:dyDescent="0.2">
      <c r="A22" s="98" t="s">
        <v>124</v>
      </c>
      <c r="B22" s="100">
        <f>VLOOKUP($A22,'Cost &amp; Benefit Inputs'!$A:$AM,2,0)</f>
        <v>0</v>
      </c>
      <c r="C22" s="122">
        <f>VLOOKUP($A22,'Cost &amp; Benefit Inputs'!$A:$AM,3,0)</f>
        <v>0</v>
      </c>
      <c r="D22" s="118"/>
      <c r="E22" s="119"/>
      <c r="F22" s="111" t="str">
        <f t="shared" si="0"/>
        <v/>
      </c>
      <c r="G22" s="99" t="str">
        <f t="shared" si="1"/>
        <v/>
      </c>
      <c r="H22" s="101" t="str">
        <f>IF(ISBLANK(VLOOKUP($A22,'Cost &amp; Benefit Inputs'!$A:$AM,15,0)),"",VLOOKUP($A22,'Cost &amp; Benefit Inputs'!$A:$AM,15,0))</f>
        <v/>
      </c>
      <c r="I22" s="112" t="str">
        <f>IF(ISBLANK(VLOOKUP($A22,'Cost &amp; Benefit Inputs'!$A:$AM,16,0)),"",VLOOKUP($A22,'Cost &amp; Benefit Inputs'!$A:$AM,16,0))</f>
        <v/>
      </c>
      <c r="J22" s="108" t="str">
        <f t="shared" si="7"/>
        <v/>
      </c>
      <c r="K22" s="109" t="str">
        <f>VLOOKUP($A22,'Cost &amp; Benefit Inputs'!$A:$AM,17,0)</f>
        <v/>
      </c>
      <c r="L22" s="118"/>
      <c r="M22" s="119"/>
      <c r="N22" s="118"/>
      <c r="O22" s="119"/>
      <c r="P22" s="102" t="str">
        <f t="shared" si="2"/>
        <v/>
      </c>
      <c r="Q22" s="104" t="str">
        <f>IFERROR(VLOOKUP($A22,'Cost &amp; Benefit Inputs'!$A:$AM,12,0)/VLOOKUP($A22,'Cost &amp; Benefit Inputs'!$A:$AM,13,0),"")</f>
        <v/>
      </c>
      <c r="R22" s="102" t="str">
        <f t="shared" si="3"/>
        <v/>
      </c>
      <c r="S22" s="104" t="str">
        <f>VLOOKUP($A22,'Cost &amp; Benefit Inputs'!$A:$AM,39,0)</f>
        <v/>
      </c>
      <c r="T22" s="102" t="str">
        <f t="shared" si="4"/>
        <v/>
      </c>
      <c r="U22" s="105" t="str">
        <f>IFERROR(VLOOKUP($A22,'Cost &amp; Benefit Inputs'!$A:$AM,28,0)/VLOOKUP($A22,'Cost &amp; Benefit Inputs'!$A:$AM,16,0),"")</f>
        <v/>
      </c>
      <c r="V22" s="104" t="str">
        <f>IFERROR(VLOOKUP($A22,'Cost &amp; Benefit Inputs'!$A:$AM,29,0)/VLOOKUP($A22,'Cost &amp; Benefit Inputs'!$A:$AM,16,0),"")</f>
        <v/>
      </c>
      <c r="W22" s="102" t="str">
        <f t="shared" si="5"/>
        <v/>
      </c>
      <c r="X22" s="105" t="str">
        <f>IFERROR(VLOOKUP($A22,'Cost &amp; Benefit Inputs'!$A:$AM,31,0)/VLOOKUP($A22,'Cost &amp; Benefit Inputs'!$A:$AM,16,0),"")</f>
        <v/>
      </c>
      <c r="Y22" s="105" t="str">
        <f>IFERROR(VLOOKUP($A22,'Cost &amp; Benefit Inputs'!$A:$AM,32,0)/VLOOKUP($A22,'Cost &amp; Benefit Inputs'!$A:$AM,16,0),"")</f>
        <v/>
      </c>
      <c r="Z22" s="104" t="str">
        <f>IFERROR(VLOOKUP($A22,'Cost &amp; Benefit Inputs'!$A:$AM,33,0)/VLOOKUP($A22,'Cost &amp; Benefit Inputs'!$A:$AM,16,0),"")</f>
        <v/>
      </c>
      <c r="AA22" s="102" t="str">
        <f>IF('Cost &amp; Benefit Inputs'!Y24&gt;0,5,IF('Cost &amp; Benefit Inputs'!X24&gt;0,4,IF('Cost &amp; Benefit Inputs'!W24&gt;0,3,IF('Cost &amp; Benefit Inputs'!V24&gt;0,2,IF('Cost &amp; Benefit Inputs'!U24&gt;0,1,"")))))</f>
        <v/>
      </c>
      <c r="AB22" s="264">
        <f t="shared" si="6"/>
        <v>0</v>
      </c>
      <c r="AC22" s="222"/>
      <c r="AD22" s="222"/>
      <c r="AE22" s="222"/>
      <c r="AF22" s="222"/>
      <c r="AG22" s="222"/>
      <c r="AH22" s="222"/>
      <c r="AI22" s="222"/>
    </row>
    <row r="23" spans="1:35" x14ac:dyDescent="0.2">
      <c r="A23" s="98" t="s">
        <v>125</v>
      </c>
      <c r="B23" s="100">
        <f>VLOOKUP($A23,'Cost &amp; Benefit Inputs'!$A:$AM,2,0)</f>
        <v>0</v>
      </c>
      <c r="C23" s="122">
        <f>VLOOKUP($A23,'Cost &amp; Benefit Inputs'!$A:$AM,3,0)</f>
        <v>0</v>
      </c>
      <c r="D23" s="118"/>
      <c r="E23" s="119"/>
      <c r="F23" s="111" t="str">
        <f t="shared" si="0"/>
        <v/>
      </c>
      <c r="G23" s="99" t="str">
        <f t="shared" si="1"/>
        <v/>
      </c>
      <c r="H23" s="101" t="str">
        <f>IF(ISBLANK(VLOOKUP($A23,'Cost &amp; Benefit Inputs'!$A:$AM,15,0)),"",VLOOKUP($A23,'Cost &amp; Benefit Inputs'!$A:$AM,15,0))</f>
        <v/>
      </c>
      <c r="I23" s="112" t="str">
        <f>IF(ISBLANK(VLOOKUP($A23,'Cost &amp; Benefit Inputs'!$A:$AM,16,0)),"",VLOOKUP($A23,'Cost &amp; Benefit Inputs'!$A:$AM,16,0))</f>
        <v/>
      </c>
      <c r="J23" s="108" t="str">
        <f t="shared" si="7"/>
        <v/>
      </c>
      <c r="K23" s="109" t="str">
        <f>VLOOKUP($A23,'Cost &amp; Benefit Inputs'!$A:$AM,17,0)</f>
        <v/>
      </c>
      <c r="L23" s="118"/>
      <c r="M23" s="119"/>
      <c r="N23" s="118"/>
      <c r="O23" s="119"/>
      <c r="P23" s="102" t="str">
        <f t="shared" si="2"/>
        <v/>
      </c>
      <c r="Q23" s="104" t="str">
        <f>IFERROR(VLOOKUP($A23,'Cost &amp; Benefit Inputs'!$A:$AM,12,0)/VLOOKUP($A23,'Cost &amp; Benefit Inputs'!$A:$AM,13,0),"")</f>
        <v/>
      </c>
      <c r="R23" s="102" t="str">
        <f t="shared" si="3"/>
        <v/>
      </c>
      <c r="S23" s="104" t="str">
        <f>VLOOKUP($A23,'Cost &amp; Benefit Inputs'!$A:$AM,39,0)</f>
        <v/>
      </c>
      <c r="T23" s="102" t="str">
        <f t="shared" si="4"/>
        <v/>
      </c>
      <c r="U23" s="105" t="str">
        <f>IFERROR(VLOOKUP($A23,'Cost &amp; Benefit Inputs'!$A:$AM,28,0)/VLOOKUP($A23,'Cost &amp; Benefit Inputs'!$A:$AM,16,0),"")</f>
        <v/>
      </c>
      <c r="V23" s="104" t="str">
        <f>IFERROR(VLOOKUP($A23,'Cost &amp; Benefit Inputs'!$A:$AM,29,0)/VLOOKUP($A23,'Cost &amp; Benefit Inputs'!$A:$AM,16,0),"")</f>
        <v/>
      </c>
      <c r="W23" s="102" t="str">
        <f t="shared" si="5"/>
        <v/>
      </c>
      <c r="X23" s="105" t="str">
        <f>IFERROR(VLOOKUP($A23,'Cost &amp; Benefit Inputs'!$A:$AM,31,0)/VLOOKUP($A23,'Cost &amp; Benefit Inputs'!$A:$AM,16,0),"")</f>
        <v/>
      </c>
      <c r="Y23" s="105" t="str">
        <f>IFERROR(VLOOKUP($A23,'Cost &amp; Benefit Inputs'!$A:$AM,32,0)/VLOOKUP($A23,'Cost &amp; Benefit Inputs'!$A:$AM,16,0),"")</f>
        <v/>
      </c>
      <c r="Z23" s="104" t="str">
        <f>IFERROR(VLOOKUP($A23,'Cost &amp; Benefit Inputs'!$A:$AM,33,0)/VLOOKUP($A23,'Cost &amp; Benefit Inputs'!$A:$AM,16,0),"")</f>
        <v/>
      </c>
      <c r="AA23" s="102" t="str">
        <f>IF('Cost &amp; Benefit Inputs'!Y25&gt;0,5,IF('Cost &amp; Benefit Inputs'!X25&gt;0,4,IF('Cost &amp; Benefit Inputs'!W25&gt;0,3,IF('Cost &amp; Benefit Inputs'!V25&gt;0,2,IF('Cost &amp; Benefit Inputs'!U25&gt;0,1,"")))))</f>
        <v/>
      </c>
      <c r="AB23" s="264">
        <f t="shared" si="6"/>
        <v>0</v>
      </c>
      <c r="AC23" s="222"/>
      <c r="AD23" s="222"/>
      <c r="AE23" s="222"/>
      <c r="AF23" s="222"/>
      <c r="AG23" s="222"/>
      <c r="AH23" s="222"/>
      <c r="AI23" s="222"/>
    </row>
    <row r="24" spans="1:35" x14ac:dyDescent="0.2">
      <c r="A24" s="98" t="s">
        <v>126</v>
      </c>
      <c r="B24" s="100">
        <f>VLOOKUP($A24,'Cost &amp; Benefit Inputs'!$A:$AM,2,0)</f>
        <v>0</v>
      </c>
      <c r="C24" s="122">
        <f>VLOOKUP($A24,'Cost &amp; Benefit Inputs'!$A:$AM,3,0)</f>
        <v>0</v>
      </c>
      <c r="D24" s="118"/>
      <c r="E24" s="119"/>
      <c r="F24" s="111" t="str">
        <f t="shared" si="0"/>
        <v/>
      </c>
      <c r="G24" s="99" t="str">
        <f t="shared" si="1"/>
        <v/>
      </c>
      <c r="H24" s="101" t="str">
        <f>IF(ISBLANK(VLOOKUP($A24,'Cost &amp; Benefit Inputs'!$A:$AM,15,0)),"",VLOOKUP($A24,'Cost &amp; Benefit Inputs'!$A:$AM,15,0))</f>
        <v/>
      </c>
      <c r="I24" s="112" t="str">
        <f>IF(ISBLANK(VLOOKUP($A24,'Cost &amp; Benefit Inputs'!$A:$AM,16,0)),"",VLOOKUP($A24,'Cost &amp; Benefit Inputs'!$A:$AM,16,0))</f>
        <v/>
      </c>
      <c r="J24" s="108" t="str">
        <f t="shared" si="7"/>
        <v/>
      </c>
      <c r="K24" s="109" t="str">
        <f>VLOOKUP($A24,'Cost &amp; Benefit Inputs'!$A:$AM,17,0)</f>
        <v/>
      </c>
      <c r="L24" s="118"/>
      <c r="M24" s="119"/>
      <c r="N24" s="118"/>
      <c r="O24" s="119"/>
      <c r="P24" s="102" t="str">
        <f t="shared" si="2"/>
        <v/>
      </c>
      <c r="Q24" s="104" t="str">
        <f>IFERROR(VLOOKUP($A24,'Cost &amp; Benefit Inputs'!$A:$AM,12,0)/VLOOKUP($A24,'Cost &amp; Benefit Inputs'!$A:$AM,13,0),"")</f>
        <v/>
      </c>
      <c r="R24" s="102" t="str">
        <f t="shared" si="3"/>
        <v/>
      </c>
      <c r="S24" s="104" t="str">
        <f>VLOOKUP($A24,'Cost &amp; Benefit Inputs'!$A:$AM,39,0)</f>
        <v/>
      </c>
      <c r="T24" s="102" t="str">
        <f t="shared" si="4"/>
        <v/>
      </c>
      <c r="U24" s="105" t="str">
        <f>IFERROR(VLOOKUP($A24,'Cost &amp; Benefit Inputs'!$A:$AM,28,0)/VLOOKUP($A24,'Cost &amp; Benefit Inputs'!$A:$AM,16,0),"")</f>
        <v/>
      </c>
      <c r="V24" s="104" t="str">
        <f>IFERROR(VLOOKUP($A24,'Cost &amp; Benefit Inputs'!$A:$AM,29,0)/VLOOKUP($A24,'Cost &amp; Benefit Inputs'!$A:$AM,16,0),"")</f>
        <v/>
      </c>
      <c r="W24" s="102" t="str">
        <f t="shared" si="5"/>
        <v/>
      </c>
      <c r="X24" s="105" t="str">
        <f>IFERROR(VLOOKUP($A24,'Cost &amp; Benefit Inputs'!$A:$AM,31,0)/VLOOKUP($A24,'Cost &amp; Benefit Inputs'!$A:$AM,16,0),"")</f>
        <v/>
      </c>
      <c r="Y24" s="105" t="str">
        <f>IFERROR(VLOOKUP($A24,'Cost &amp; Benefit Inputs'!$A:$AM,32,0)/VLOOKUP($A24,'Cost &amp; Benefit Inputs'!$A:$AM,16,0),"")</f>
        <v/>
      </c>
      <c r="Z24" s="104" t="str">
        <f>IFERROR(VLOOKUP($A24,'Cost &amp; Benefit Inputs'!$A:$AM,33,0)/VLOOKUP($A24,'Cost &amp; Benefit Inputs'!$A:$AM,16,0),"")</f>
        <v/>
      </c>
      <c r="AA24" s="102" t="str">
        <f>IF('Cost &amp; Benefit Inputs'!Y26&gt;0,5,IF('Cost &amp; Benefit Inputs'!X26&gt;0,4,IF('Cost &amp; Benefit Inputs'!W26&gt;0,3,IF('Cost &amp; Benefit Inputs'!V26&gt;0,2,IF('Cost &amp; Benefit Inputs'!U26&gt;0,1,"")))))</f>
        <v/>
      </c>
      <c r="AB24" s="264">
        <f t="shared" si="6"/>
        <v>0</v>
      </c>
      <c r="AC24" s="222"/>
      <c r="AD24" s="222"/>
      <c r="AE24" s="222"/>
      <c r="AF24" s="222"/>
      <c r="AG24" s="222"/>
      <c r="AH24" s="222"/>
      <c r="AI24" s="222"/>
    </row>
    <row r="25" spans="1:35" x14ac:dyDescent="0.2">
      <c r="A25" s="98" t="s">
        <v>127</v>
      </c>
      <c r="B25" s="100">
        <f>VLOOKUP($A25,'Cost &amp; Benefit Inputs'!$A:$AM,2,0)</f>
        <v>0</v>
      </c>
      <c r="C25" s="122">
        <f>VLOOKUP($A25,'Cost &amp; Benefit Inputs'!$A:$AM,3,0)</f>
        <v>0</v>
      </c>
      <c r="D25" s="118"/>
      <c r="E25" s="119"/>
      <c r="F25" s="111" t="str">
        <f t="shared" si="0"/>
        <v/>
      </c>
      <c r="G25" s="99" t="str">
        <f t="shared" si="1"/>
        <v/>
      </c>
      <c r="H25" s="101" t="str">
        <f>IF(ISBLANK(VLOOKUP($A25,'Cost &amp; Benefit Inputs'!$A:$AM,15,0)),"",VLOOKUP($A25,'Cost &amp; Benefit Inputs'!$A:$AM,15,0))</f>
        <v/>
      </c>
      <c r="I25" s="112" t="str">
        <f>IF(ISBLANK(VLOOKUP($A25,'Cost &amp; Benefit Inputs'!$A:$AM,16,0)),"",VLOOKUP($A25,'Cost &amp; Benefit Inputs'!$A:$AM,16,0))</f>
        <v/>
      </c>
      <c r="J25" s="108" t="str">
        <f t="shared" si="7"/>
        <v/>
      </c>
      <c r="K25" s="109" t="str">
        <f>VLOOKUP($A25,'Cost &amp; Benefit Inputs'!$A:$AM,17,0)</f>
        <v/>
      </c>
      <c r="L25" s="118"/>
      <c r="M25" s="119"/>
      <c r="N25" s="118"/>
      <c r="O25" s="119"/>
      <c r="P25" s="102" t="str">
        <f t="shared" si="2"/>
        <v/>
      </c>
      <c r="Q25" s="104" t="str">
        <f>IFERROR(VLOOKUP($A25,'Cost &amp; Benefit Inputs'!$A:$AM,12,0)/VLOOKUP($A25,'Cost &amp; Benefit Inputs'!$A:$AM,13,0),"")</f>
        <v/>
      </c>
      <c r="R25" s="102" t="str">
        <f t="shared" si="3"/>
        <v/>
      </c>
      <c r="S25" s="104" t="str">
        <f>VLOOKUP($A25,'Cost &amp; Benefit Inputs'!$A:$AM,39,0)</f>
        <v/>
      </c>
      <c r="T25" s="102" t="str">
        <f t="shared" si="4"/>
        <v/>
      </c>
      <c r="U25" s="105" t="str">
        <f>IFERROR(VLOOKUP($A25,'Cost &amp; Benefit Inputs'!$A:$AM,28,0)/VLOOKUP($A25,'Cost &amp; Benefit Inputs'!$A:$AM,16,0),"")</f>
        <v/>
      </c>
      <c r="V25" s="104" t="str">
        <f>IFERROR(VLOOKUP($A25,'Cost &amp; Benefit Inputs'!$A:$AM,29,0)/VLOOKUP($A25,'Cost &amp; Benefit Inputs'!$A:$AM,16,0),"")</f>
        <v/>
      </c>
      <c r="W25" s="102" t="str">
        <f t="shared" si="5"/>
        <v/>
      </c>
      <c r="X25" s="105" t="str">
        <f>IFERROR(VLOOKUP($A25,'Cost &amp; Benefit Inputs'!$A:$AM,31,0)/VLOOKUP($A25,'Cost &amp; Benefit Inputs'!$A:$AM,16,0),"")</f>
        <v/>
      </c>
      <c r="Y25" s="105" t="str">
        <f>IFERROR(VLOOKUP($A25,'Cost &amp; Benefit Inputs'!$A:$AM,32,0)/VLOOKUP($A25,'Cost &amp; Benefit Inputs'!$A:$AM,16,0),"")</f>
        <v/>
      </c>
      <c r="Z25" s="104" t="str">
        <f>IFERROR(VLOOKUP($A25,'Cost &amp; Benefit Inputs'!$A:$AM,33,0)/VLOOKUP($A25,'Cost &amp; Benefit Inputs'!$A:$AM,16,0),"")</f>
        <v/>
      </c>
      <c r="AA25" s="102" t="str">
        <f>IF('Cost &amp; Benefit Inputs'!Y27&gt;0,5,IF('Cost &amp; Benefit Inputs'!X27&gt;0,4,IF('Cost &amp; Benefit Inputs'!W27&gt;0,3,IF('Cost &amp; Benefit Inputs'!V27&gt;0,2,IF('Cost &amp; Benefit Inputs'!U27&gt;0,1,"")))))</f>
        <v/>
      </c>
      <c r="AB25" s="264">
        <f t="shared" si="6"/>
        <v>0</v>
      </c>
      <c r="AC25" s="222"/>
      <c r="AD25" s="222"/>
      <c r="AE25" s="222"/>
      <c r="AF25" s="222"/>
      <c r="AG25" s="222"/>
      <c r="AH25" s="222"/>
      <c r="AI25" s="222"/>
    </row>
    <row r="26" spans="1:35" x14ac:dyDescent="0.2">
      <c r="A26" s="98" t="s">
        <v>128</v>
      </c>
      <c r="B26" s="100">
        <f>VLOOKUP($A26,'Cost &amp; Benefit Inputs'!$A:$AM,2,0)</f>
        <v>0</v>
      </c>
      <c r="C26" s="122">
        <f>VLOOKUP($A26,'Cost &amp; Benefit Inputs'!$A:$AM,3,0)</f>
        <v>0</v>
      </c>
      <c r="D26" s="118"/>
      <c r="E26" s="119"/>
      <c r="F26" s="111" t="str">
        <f t="shared" si="0"/>
        <v/>
      </c>
      <c r="G26" s="99" t="str">
        <f t="shared" si="1"/>
        <v/>
      </c>
      <c r="H26" s="101" t="str">
        <f>IF(ISBLANK(VLOOKUP($A26,'Cost &amp; Benefit Inputs'!$A:$AM,15,0)),"",VLOOKUP($A26,'Cost &amp; Benefit Inputs'!$A:$AM,15,0))</f>
        <v/>
      </c>
      <c r="I26" s="112" t="str">
        <f>IF(ISBLANK(VLOOKUP($A26,'Cost &amp; Benefit Inputs'!$A:$AM,16,0)),"",VLOOKUP($A26,'Cost &amp; Benefit Inputs'!$A:$AM,16,0))</f>
        <v/>
      </c>
      <c r="J26" s="108" t="str">
        <f t="shared" si="7"/>
        <v/>
      </c>
      <c r="K26" s="109" t="str">
        <f>VLOOKUP($A26,'Cost &amp; Benefit Inputs'!$A:$AM,17,0)</f>
        <v/>
      </c>
      <c r="L26" s="118"/>
      <c r="M26" s="119"/>
      <c r="N26" s="118"/>
      <c r="O26" s="119"/>
      <c r="P26" s="102" t="str">
        <f t="shared" si="2"/>
        <v/>
      </c>
      <c r="Q26" s="104" t="str">
        <f>IFERROR(VLOOKUP($A26,'Cost &amp; Benefit Inputs'!$A:$AM,12,0)/VLOOKUP($A26,'Cost &amp; Benefit Inputs'!$A:$AM,13,0),"")</f>
        <v/>
      </c>
      <c r="R26" s="102" t="str">
        <f t="shared" si="3"/>
        <v/>
      </c>
      <c r="S26" s="104" t="str">
        <f>VLOOKUP($A26,'Cost &amp; Benefit Inputs'!$A:$AM,39,0)</f>
        <v/>
      </c>
      <c r="T26" s="102" t="str">
        <f t="shared" si="4"/>
        <v/>
      </c>
      <c r="U26" s="105" t="str">
        <f>IFERROR(VLOOKUP($A26,'Cost &amp; Benefit Inputs'!$A:$AM,28,0)/VLOOKUP($A26,'Cost &amp; Benefit Inputs'!$A:$AM,16,0),"")</f>
        <v/>
      </c>
      <c r="V26" s="104" t="str">
        <f>IFERROR(VLOOKUP($A26,'Cost &amp; Benefit Inputs'!$A:$AM,29,0)/VLOOKUP($A26,'Cost &amp; Benefit Inputs'!$A:$AM,16,0),"")</f>
        <v/>
      </c>
      <c r="W26" s="102" t="str">
        <f t="shared" si="5"/>
        <v/>
      </c>
      <c r="X26" s="105" t="str">
        <f>IFERROR(VLOOKUP($A26,'Cost &amp; Benefit Inputs'!$A:$AM,31,0)/VLOOKUP($A26,'Cost &amp; Benefit Inputs'!$A:$AM,16,0),"")</f>
        <v/>
      </c>
      <c r="Y26" s="105" t="str">
        <f>IFERROR(VLOOKUP($A26,'Cost &amp; Benefit Inputs'!$A:$AM,32,0)/VLOOKUP($A26,'Cost &amp; Benefit Inputs'!$A:$AM,16,0),"")</f>
        <v/>
      </c>
      <c r="Z26" s="104" t="str">
        <f>IFERROR(VLOOKUP($A26,'Cost &amp; Benefit Inputs'!$A:$AM,33,0)/VLOOKUP($A26,'Cost &amp; Benefit Inputs'!$A:$AM,16,0),"")</f>
        <v/>
      </c>
      <c r="AA26" s="102" t="str">
        <f>IF('Cost &amp; Benefit Inputs'!Y28&gt;0,5,IF('Cost &amp; Benefit Inputs'!X28&gt;0,4,IF('Cost &amp; Benefit Inputs'!W28&gt;0,3,IF('Cost &amp; Benefit Inputs'!V28&gt;0,2,IF('Cost &amp; Benefit Inputs'!U28&gt;0,1,"")))))</f>
        <v/>
      </c>
      <c r="AB26" s="264">
        <f t="shared" si="6"/>
        <v>0</v>
      </c>
      <c r="AC26" s="222"/>
      <c r="AD26" s="222"/>
      <c r="AE26" s="222"/>
      <c r="AF26" s="222"/>
      <c r="AG26" s="222"/>
      <c r="AH26" s="222"/>
      <c r="AI26" s="222"/>
    </row>
    <row r="27" spans="1:35" x14ac:dyDescent="0.2">
      <c r="A27" s="98" t="s">
        <v>129</v>
      </c>
      <c r="B27" s="100">
        <f>VLOOKUP($A27,'Cost &amp; Benefit Inputs'!$A:$AM,2,0)</f>
        <v>0</v>
      </c>
      <c r="C27" s="122">
        <f>VLOOKUP($A27,'Cost &amp; Benefit Inputs'!$A:$AM,3,0)</f>
        <v>0</v>
      </c>
      <c r="D27" s="118"/>
      <c r="E27" s="119"/>
      <c r="F27" s="111" t="str">
        <f t="shared" si="0"/>
        <v/>
      </c>
      <c r="G27" s="99" t="str">
        <f t="shared" si="1"/>
        <v/>
      </c>
      <c r="H27" s="101" t="str">
        <f>IF(ISBLANK(VLOOKUP($A27,'Cost &amp; Benefit Inputs'!$A:$AM,15,0)),"",VLOOKUP($A27,'Cost &amp; Benefit Inputs'!$A:$AM,15,0))</f>
        <v/>
      </c>
      <c r="I27" s="112" t="str">
        <f>IF(ISBLANK(VLOOKUP($A27,'Cost &amp; Benefit Inputs'!$A:$AM,16,0)),"",VLOOKUP($A27,'Cost &amp; Benefit Inputs'!$A:$AM,16,0))</f>
        <v/>
      </c>
      <c r="J27" s="108" t="str">
        <f t="shared" si="7"/>
        <v/>
      </c>
      <c r="K27" s="109" t="str">
        <f>VLOOKUP($A27,'Cost &amp; Benefit Inputs'!$A:$AM,17,0)</f>
        <v/>
      </c>
      <c r="L27" s="118"/>
      <c r="M27" s="119"/>
      <c r="N27" s="118"/>
      <c r="O27" s="119"/>
      <c r="P27" s="102" t="str">
        <f t="shared" si="2"/>
        <v/>
      </c>
      <c r="Q27" s="104" t="str">
        <f>IFERROR(VLOOKUP($A27,'Cost &amp; Benefit Inputs'!$A:$AM,12,0)/VLOOKUP($A27,'Cost &amp; Benefit Inputs'!$A:$AM,13,0),"")</f>
        <v/>
      </c>
      <c r="R27" s="102" t="str">
        <f t="shared" si="3"/>
        <v/>
      </c>
      <c r="S27" s="104" t="str">
        <f>VLOOKUP($A27,'Cost &amp; Benefit Inputs'!$A:$AM,39,0)</f>
        <v/>
      </c>
      <c r="T27" s="102" t="str">
        <f t="shared" si="4"/>
        <v/>
      </c>
      <c r="U27" s="105" t="str">
        <f>IFERROR(VLOOKUP($A27,'Cost &amp; Benefit Inputs'!$A:$AM,28,0)/VLOOKUP($A27,'Cost &amp; Benefit Inputs'!$A:$AM,16,0),"")</f>
        <v/>
      </c>
      <c r="V27" s="104" t="str">
        <f>IFERROR(VLOOKUP($A27,'Cost &amp; Benefit Inputs'!$A:$AM,29,0)/VLOOKUP($A27,'Cost &amp; Benefit Inputs'!$A:$AM,16,0),"")</f>
        <v/>
      </c>
      <c r="W27" s="102" t="str">
        <f t="shared" si="5"/>
        <v/>
      </c>
      <c r="X27" s="105" t="str">
        <f>IFERROR(VLOOKUP($A27,'Cost &amp; Benefit Inputs'!$A:$AM,31,0)/VLOOKUP($A27,'Cost &amp; Benefit Inputs'!$A:$AM,16,0),"")</f>
        <v/>
      </c>
      <c r="Y27" s="105" t="str">
        <f>IFERROR(VLOOKUP($A27,'Cost &amp; Benefit Inputs'!$A:$AM,32,0)/VLOOKUP($A27,'Cost &amp; Benefit Inputs'!$A:$AM,16,0),"")</f>
        <v/>
      </c>
      <c r="Z27" s="104" t="str">
        <f>IFERROR(VLOOKUP($A27,'Cost &amp; Benefit Inputs'!$A:$AM,33,0)/VLOOKUP($A27,'Cost &amp; Benefit Inputs'!$A:$AM,16,0),"")</f>
        <v/>
      </c>
      <c r="AA27" s="102" t="str">
        <f>IF('Cost &amp; Benefit Inputs'!Y29&gt;0,5,IF('Cost &amp; Benefit Inputs'!X29&gt;0,4,IF('Cost &amp; Benefit Inputs'!W29&gt;0,3,IF('Cost &amp; Benefit Inputs'!V29&gt;0,2,IF('Cost &amp; Benefit Inputs'!U29&gt;0,1,"")))))</f>
        <v/>
      </c>
      <c r="AB27" s="264">
        <f t="shared" si="6"/>
        <v>0</v>
      </c>
      <c r="AC27" s="222"/>
      <c r="AD27" s="222"/>
      <c r="AE27" s="222"/>
      <c r="AF27" s="222"/>
      <c r="AG27" s="222"/>
      <c r="AH27" s="222"/>
      <c r="AI27" s="222"/>
    </row>
    <row r="28" spans="1:35" x14ac:dyDescent="0.2">
      <c r="A28" s="98" t="s">
        <v>130</v>
      </c>
      <c r="B28" s="100">
        <f>VLOOKUP($A28,'Cost &amp; Benefit Inputs'!$A:$AM,2,0)</f>
        <v>0</v>
      </c>
      <c r="C28" s="122">
        <f>VLOOKUP($A28,'Cost &amp; Benefit Inputs'!$A:$AM,3,0)</f>
        <v>0</v>
      </c>
      <c r="D28" s="118"/>
      <c r="E28" s="119"/>
      <c r="F28" s="111" t="str">
        <f t="shared" si="0"/>
        <v/>
      </c>
      <c r="G28" s="99" t="str">
        <f t="shared" si="1"/>
        <v/>
      </c>
      <c r="H28" s="101" t="str">
        <f>IF(ISBLANK(VLOOKUP($A28,'Cost &amp; Benefit Inputs'!$A:$AM,15,0)),"",VLOOKUP($A28,'Cost &amp; Benefit Inputs'!$A:$AM,15,0))</f>
        <v/>
      </c>
      <c r="I28" s="112" t="str">
        <f>IF(ISBLANK(VLOOKUP($A28,'Cost &amp; Benefit Inputs'!$A:$AM,16,0)),"",VLOOKUP($A28,'Cost &amp; Benefit Inputs'!$A:$AM,16,0))</f>
        <v/>
      </c>
      <c r="J28" s="108" t="str">
        <f t="shared" si="7"/>
        <v/>
      </c>
      <c r="K28" s="109" t="str">
        <f>VLOOKUP($A28,'Cost &amp; Benefit Inputs'!$A:$AM,17,0)</f>
        <v/>
      </c>
      <c r="L28" s="118"/>
      <c r="M28" s="119"/>
      <c r="N28" s="118"/>
      <c r="O28" s="119"/>
      <c r="P28" s="102" t="str">
        <f t="shared" si="2"/>
        <v/>
      </c>
      <c r="Q28" s="104" t="str">
        <f>IFERROR(VLOOKUP($A28,'Cost &amp; Benefit Inputs'!$A:$AM,12,0)/VLOOKUP($A28,'Cost &amp; Benefit Inputs'!$A:$AM,13,0),"")</f>
        <v/>
      </c>
      <c r="R28" s="102" t="str">
        <f t="shared" si="3"/>
        <v/>
      </c>
      <c r="S28" s="104" t="str">
        <f>VLOOKUP($A28,'Cost &amp; Benefit Inputs'!$A:$AM,39,0)</f>
        <v/>
      </c>
      <c r="T28" s="102" t="str">
        <f t="shared" si="4"/>
        <v/>
      </c>
      <c r="U28" s="105" t="str">
        <f>IFERROR(VLOOKUP($A28,'Cost &amp; Benefit Inputs'!$A:$AM,28,0)/VLOOKUP($A28,'Cost &amp; Benefit Inputs'!$A:$AM,16,0),"")</f>
        <v/>
      </c>
      <c r="V28" s="104" t="str">
        <f>IFERROR(VLOOKUP($A28,'Cost &amp; Benefit Inputs'!$A:$AM,29,0)/VLOOKUP($A28,'Cost &amp; Benefit Inputs'!$A:$AM,16,0),"")</f>
        <v/>
      </c>
      <c r="W28" s="102" t="str">
        <f t="shared" si="5"/>
        <v/>
      </c>
      <c r="X28" s="105" t="str">
        <f>IFERROR(VLOOKUP($A28,'Cost &amp; Benefit Inputs'!$A:$AM,31,0)/VLOOKUP($A28,'Cost &amp; Benefit Inputs'!$A:$AM,16,0),"")</f>
        <v/>
      </c>
      <c r="Y28" s="105" t="str">
        <f>IFERROR(VLOOKUP($A28,'Cost &amp; Benefit Inputs'!$A:$AM,32,0)/VLOOKUP($A28,'Cost &amp; Benefit Inputs'!$A:$AM,16,0),"")</f>
        <v/>
      </c>
      <c r="Z28" s="104" t="str">
        <f>IFERROR(VLOOKUP($A28,'Cost &amp; Benefit Inputs'!$A:$AM,33,0)/VLOOKUP($A28,'Cost &amp; Benefit Inputs'!$A:$AM,16,0),"")</f>
        <v/>
      </c>
      <c r="AA28" s="102" t="str">
        <f>IF('Cost &amp; Benefit Inputs'!Y30&gt;0,5,IF('Cost &amp; Benefit Inputs'!X30&gt;0,4,IF('Cost &amp; Benefit Inputs'!W30&gt;0,3,IF('Cost &amp; Benefit Inputs'!V30&gt;0,2,IF('Cost &amp; Benefit Inputs'!U30&gt;0,1,"")))))</f>
        <v/>
      </c>
      <c r="AB28" s="264">
        <f t="shared" si="6"/>
        <v>0</v>
      </c>
      <c r="AC28" s="222"/>
      <c r="AD28" s="222"/>
      <c r="AE28" s="222"/>
      <c r="AF28" s="222"/>
      <c r="AG28" s="222"/>
      <c r="AH28" s="222"/>
      <c r="AI28" s="222"/>
    </row>
    <row r="29" spans="1:35" x14ac:dyDescent="0.2">
      <c r="A29" s="98" t="s">
        <v>131</v>
      </c>
      <c r="B29" s="100">
        <f>VLOOKUP($A29,'Cost &amp; Benefit Inputs'!$A:$AM,2,0)</f>
        <v>0</v>
      </c>
      <c r="C29" s="122">
        <f>VLOOKUP($A29,'Cost &amp; Benefit Inputs'!$A:$AM,3,0)</f>
        <v>0</v>
      </c>
      <c r="D29" s="118"/>
      <c r="E29" s="119"/>
      <c r="F29" s="111" t="str">
        <f t="shared" si="0"/>
        <v/>
      </c>
      <c r="G29" s="99" t="str">
        <f t="shared" si="1"/>
        <v/>
      </c>
      <c r="H29" s="101" t="str">
        <f>IF(ISBLANK(VLOOKUP($A29,'Cost &amp; Benefit Inputs'!$A:$AM,15,0)),"",VLOOKUP($A29,'Cost &amp; Benefit Inputs'!$A:$AM,15,0))</f>
        <v/>
      </c>
      <c r="I29" s="112" t="str">
        <f>IF(ISBLANK(VLOOKUP($A29,'Cost &amp; Benefit Inputs'!$A:$AM,16,0)),"",VLOOKUP($A29,'Cost &amp; Benefit Inputs'!$A:$AM,16,0))</f>
        <v/>
      </c>
      <c r="J29" s="108" t="str">
        <f t="shared" si="7"/>
        <v/>
      </c>
      <c r="K29" s="109" t="str">
        <f>VLOOKUP($A29,'Cost &amp; Benefit Inputs'!$A:$AM,17,0)</f>
        <v/>
      </c>
      <c r="L29" s="118"/>
      <c r="M29" s="119"/>
      <c r="N29" s="118"/>
      <c r="O29" s="119"/>
      <c r="P29" s="102" t="str">
        <f t="shared" si="2"/>
        <v/>
      </c>
      <c r="Q29" s="104" t="str">
        <f>IFERROR(VLOOKUP($A29,'Cost &amp; Benefit Inputs'!$A:$AM,12,0)/VLOOKUP($A29,'Cost &amp; Benefit Inputs'!$A:$AM,13,0),"")</f>
        <v/>
      </c>
      <c r="R29" s="102" t="str">
        <f t="shared" si="3"/>
        <v/>
      </c>
      <c r="S29" s="104" t="str">
        <f>VLOOKUP($A29,'Cost &amp; Benefit Inputs'!$A:$AM,39,0)</f>
        <v/>
      </c>
      <c r="T29" s="102" t="str">
        <f t="shared" si="4"/>
        <v/>
      </c>
      <c r="U29" s="105" t="str">
        <f>IFERROR(VLOOKUP($A29,'Cost &amp; Benefit Inputs'!$A:$AM,28,0)/VLOOKUP($A29,'Cost &amp; Benefit Inputs'!$A:$AM,16,0),"")</f>
        <v/>
      </c>
      <c r="V29" s="104" t="str">
        <f>IFERROR(VLOOKUP($A29,'Cost &amp; Benefit Inputs'!$A:$AM,29,0)/VLOOKUP($A29,'Cost &amp; Benefit Inputs'!$A:$AM,16,0),"")</f>
        <v/>
      </c>
      <c r="W29" s="102" t="str">
        <f t="shared" si="5"/>
        <v/>
      </c>
      <c r="X29" s="105" t="str">
        <f>IFERROR(VLOOKUP($A29,'Cost &amp; Benefit Inputs'!$A:$AM,31,0)/VLOOKUP($A29,'Cost &amp; Benefit Inputs'!$A:$AM,16,0),"")</f>
        <v/>
      </c>
      <c r="Y29" s="105" t="str">
        <f>IFERROR(VLOOKUP($A29,'Cost &amp; Benefit Inputs'!$A:$AM,32,0)/VLOOKUP($A29,'Cost &amp; Benefit Inputs'!$A:$AM,16,0),"")</f>
        <v/>
      </c>
      <c r="Z29" s="104" t="str">
        <f>IFERROR(VLOOKUP($A29,'Cost &amp; Benefit Inputs'!$A:$AM,33,0)/VLOOKUP($A29,'Cost &amp; Benefit Inputs'!$A:$AM,16,0),"")</f>
        <v/>
      </c>
      <c r="AA29" s="102" t="str">
        <f>IF('Cost &amp; Benefit Inputs'!Y31&gt;0,5,IF('Cost &amp; Benefit Inputs'!X31&gt;0,4,IF('Cost &amp; Benefit Inputs'!W31&gt;0,3,IF('Cost &amp; Benefit Inputs'!V31&gt;0,2,IF('Cost &amp; Benefit Inputs'!U31&gt;0,1,"")))))</f>
        <v/>
      </c>
      <c r="AB29" s="264">
        <f t="shared" si="6"/>
        <v>0</v>
      </c>
      <c r="AC29" s="222"/>
      <c r="AD29" s="222"/>
      <c r="AE29" s="222"/>
      <c r="AF29" s="222"/>
      <c r="AG29" s="222"/>
      <c r="AH29" s="222"/>
      <c r="AI29" s="222"/>
    </row>
    <row r="30" spans="1:35" x14ac:dyDescent="0.2">
      <c r="A30" s="98" t="s">
        <v>132</v>
      </c>
      <c r="B30" s="100">
        <f>VLOOKUP($A30,'Cost &amp; Benefit Inputs'!$A:$AM,2,0)</f>
        <v>0</v>
      </c>
      <c r="C30" s="122">
        <f>VLOOKUP($A30,'Cost &amp; Benefit Inputs'!$A:$AM,3,0)</f>
        <v>0</v>
      </c>
      <c r="D30" s="118"/>
      <c r="E30" s="119"/>
      <c r="F30" s="111" t="str">
        <f t="shared" si="0"/>
        <v/>
      </c>
      <c r="G30" s="99" t="str">
        <f t="shared" si="1"/>
        <v/>
      </c>
      <c r="H30" s="101" t="str">
        <f>IF(ISBLANK(VLOOKUP($A30,'Cost &amp; Benefit Inputs'!$A:$AM,15,0)),"",VLOOKUP($A30,'Cost &amp; Benefit Inputs'!$A:$AM,15,0))</f>
        <v/>
      </c>
      <c r="I30" s="112" t="str">
        <f>IF(ISBLANK(VLOOKUP($A30,'Cost &amp; Benefit Inputs'!$A:$AM,16,0)),"",VLOOKUP($A30,'Cost &amp; Benefit Inputs'!$A:$AM,16,0))</f>
        <v/>
      </c>
      <c r="J30" s="108" t="str">
        <f t="shared" si="7"/>
        <v/>
      </c>
      <c r="K30" s="109" t="str">
        <f>VLOOKUP($A30,'Cost &amp; Benefit Inputs'!$A:$AM,17,0)</f>
        <v/>
      </c>
      <c r="L30" s="118"/>
      <c r="M30" s="119"/>
      <c r="N30" s="118"/>
      <c r="O30" s="119"/>
      <c r="P30" s="102" t="str">
        <f t="shared" si="2"/>
        <v/>
      </c>
      <c r="Q30" s="104" t="str">
        <f>IFERROR(VLOOKUP($A30,'Cost &amp; Benefit Inputs'!$A:$AM,12,0)/VLOOKUP($A30,'Cost &amp; Benefit Inputs'!$A:$AM,13,0),"")</f>
        <v/>
      </c>
      <c r="R30" s="102" t="str">
        <f t="shared" si="3"/>
        <v/>
      </c>
      <c r="S30" s="104" t="str">
        <f>VLOOKUP($A30,'Cost &amp; Benefit Inputs'!$A:$AM,39,0)</f>
        <v/>
      </c>
      <c r="T30" s="102" t="str">
        <f t="shared" si="4"/>
        <v/>
      </c>
      <c r="U30" s="105" t="str">
        <f>IFERROR(VLOOKUP($A30,'Cost &amp; Benefit Inputs'!$A:$AM,28,0)/VLOOKUP($A30,'Cost &amp; Benefit Inputs'!$A:$AM,16,0),"")</f>
        <v/>
      </c>
      <c r="V30" s="104" t="str">
        <f>IFERROR(VLOOKUP($A30,'Cost &amp; Benefit Inputs'!$A:$AM,29,0)/VLOOKUP($A30,'Cost &amp; Benefit Inputs'!$A:$AM,16,0),"")</f>
        <v/>
      </c>
      <c r="W30" s="102" t="str">
        <f t="shared" si="5"/>
        <v/>
      </c>
      <c r="X30" s="105" t="str">
        <f>IFERROR(VLOOKUP($A30,'Cost &amp; Benefit Inputs'!$A:$AM,31,0)/VLOOKUP($A30,'Cost &amp; Benefit Inputs'!$A:$AM,16,0),"")</f>
        <v/>
      </c>
      <c r="Y30" s="105" t="str">
        <f>IFERROR(VLOOKUP($A30,'Cost &amp; Benefit Inputs'!$A:$AM,32,0)/VLOOKUP($A30,'Cost &amp; Benefit Inputs'!$A:$AM,16,0),"")</f>
        <v/>
      </c>
      <c r="Z30" s="104" t="str">
        <f>IFERROR(VLOOKUP($A30,'Cost &amp; Benefit Inputs'!$A:$AM,33,0)/VLOOKUP($A30,'Cost &amp; Benefit Inputs'!$A:$AM,16,0),"")</f>
        <v/>
      </c>
      <c r="AA30" s="102" t="str">
        <f>IF('Cost &amp; Benefit Inputs'!Y32&gt;0,5,IF('Cost &amp; Benefit Inputs'!X32&gt;0,4,IF('Cost &amp; Benefit Inputs'!W32&gt;0,3,IF('Cost &amp; Benefit Inputs'!V32&gt;0,2,IF('Cost &amp; Benefit Inputs'!U32&gt;0,1,"")))))</f>
        <v/>
      </c>
      <c r="AB30" s="264">
        <f t="shared" si="6"/>
        <v>0</v>
      </c>
      <c r="AC30" s="222"/>
      <c r="AD30" s="222"/>
      <c r="AE30" s="222"/>
      <c r="AF30" s="222"/>
      <c r="AG30" s="222"/>
      <c r="AH30" s="222"/>
      <c r="AI30" s="222"/>
    </row>
    <row r="31" spans="1:35" x14ac:dyDescent="0.2">
      <c r="A31" s="98" t="s">
        <v>133</v>
      </c>
      <c r="B31" s="100">
        <f>VLOOKUP($A31,'Cost &amp; Benefit Inputs'!$A:$AM,2,0)</f>
        <v>0</v>
      </c>
      <c r="C31" s="122">
        <f>VLOOKUP($A31,'Cost &amp; Benefit Inputs'!$A:$AM,3,0)</f>
        <v>0</v>
      </c>
      <c r="D31" s="118"/>
      <c r="E31" s="119"/>
      <c r="F31" s="111" t="str">
        <f t="shared" si="0"/>
        <v/>
      </c>
      <c r="G31" s="99" t="str">
        <f t="shared" si="1"/>
        <v/>
      </c>
      <c r="H31" s="101" t="str">
        <f>IF(ISBLANK(VLOOKUP($A31,'Cost &amp; Benefit Inputs'!$A:$AM,15,0)),"",VLOOKUP($A31,'Cost &amp; Benefit Inputs'!$A:$AM,15,0))</f>
        <v/>
      </c>
      <c r="I31" s="112" t="str">
        <f>IF(ISBLANK(VLOOKUP($A31,'Cost &amp; Benefit Inputs'!$A:$AM,16,0)),"",VLOOKUP($A31,'Cost &amp; Benefit Inputs'!$A:$AM,16,0))</f>
        <v/>
      </c>
      <c r="J31" s="108" t="str">
        <f t="shared" si="7"/>
        <v/>
      </c>
      <c r="K31" s="109" t="str">
        <f>VLOOKUP($A31,'Cost &amp; Benefit Inputs'!$A:$AM,17,0)</f>
        <v/>
      </c>
      <c r="L31" s="118"/>
      <c r="M31" s="119"/>
      <c r="N31" s="118"/>
      <c r="O31" s="119"/>
      <c r="P31" s="102" t="str">
        <f t="shared" si="2"/>
        <v/>
      </c>
      <c r="Q31" s="104" t="str">
        <f>IFERROR(VLOOKUP($A31,'Cost &amp; Benefit Inputs'!$A:$AM,12,0)/VLOOKUP($A31,'Cost &amp; Benefit Inputs'!$A:$AM,13,0),"")</f>
        <v/>
      </c>
      <c r="R31" s="102" t="str">
        <f t="shared" si="3"/>
        <v/>
      </c>
      <c r="S31" s="104" t="str">
        <f>VLOOKUP($A31,'Cost &amp; Benefit Inputs'!$A:$AM,39,0)</f>
        <v/>
      </c>
      <c r="T31" s="102" t="str">
        <f t="shared" si="4"/>
        <v/>
      </c>
      <c r="U31" s="105" t="str">
        <f>IFERROR(VLOOKUP($A31,'Cost &amp; Benefit Inputs'!$A:$AM,28,0)/VLOOKUP($A31,'Cost &amp; Benefit Inputs'!$A:$AM,16,0),"")</f>
        <v/>
      </c>
      <c r="V31" s="104" t="str">
        <f>IFERROR(VLOOKUP($A31,'Cost &amp; Benefit Inputs'!$A:$AM,29,0)/VLOOKUP($A31,'Cost &amp; Benefit Inputs'!$A:$AM,16,0),"")</f>
        <v/>
      </c>
      <c r="W31" s="102" t="str">
        <f t="shared" si="5"/>
        <v/>
      </c>
      <c r="X31" s="105" t="str">
        <f>IFERROR(VLOOKUP($A31,'Cost &amp; Benefit Inputs'!$A:$AM,31,0)/VLOOKUP($A31,'Cost &amp; Benefit Inputs'!$A:$AM,16,0),"")</f>
        <v/>
      </c>
      <c r="Y31" s="105" t="str">
        <f>IFERROR(VLOOKUP($A31,'Cost &amp; Benefit Inputs'!$A:$AM,32,0)/VLOOKUP($A31,'Cost &amp; Benefit Inputs'!$A:$AM,16,0),"")</f>
        <v/>
      </c>
      <c r="Z31" s="104" t="str">
        <f>IFERROR(VLOOKUP($A31,'Cost &amp; Benefit Inputs'!$A:$AM,33,0)/VLOOKUP($A31,'Cost &amp; Benefit Inputs'!$A:$AM,16,0),"")</f>
        <v/>
      </c>
      <c r="AA31" s="102" t="str">
        <f>IF('Cost &amp; Benefit Inputs'!Y33&gt;0,5,IF('Cost &amp; Benefit Inputs'!X33&gt;0,4,IF('Cost &amp; Benefit Inputs'!W33&gt;0,3,IF('Cost &amp; Benefit Inputs'!V33&gt;0,2,IF('Cost &amp; Benefit Inputs'!U33&gt;0,1,"")))))</f>
        <v/>
      </c>
      <c r="AB31" s="264">
        <f t="shared" si="6"/>
        <v>0</v>
      </c>
      <c r="AC31" s="222"/>
      <c r="AD31" s="222"/>
      <c r="AE31" s="222"/>
      <c r="AF31" s="222"/>
      <c r="AG31" s="222"/>
      <c r="AH31" s="222"/>
      <c r="AI31" s="222"/>
    </row>
    <row r="32" spans="1:35" x14ac:dyDescent="0.2">
      <c r="A32" s="98" t="s">
        <v>134</v>
      </c>
      <c r="B32" s="100">
        <f>VLOOKUP($A32,'Cost &amp; Benefit Inputs'!$A:$AM,2,0)</f>
        <v>0</v>
      </c>
      <c r="C32" s="122">
        <f>VLOOKUP($A32,'Cost &amp; Benefit Inputs'!$A:$AM,3,0)</f>
        <v>0</v>
      </c>
      <c r="D32" s="118"/>
      <c r="E32" s="119"/>
      <c r="F32" s="111" t="str">
        <f t="shared" si="0"/>
        <v/>
      </c>
      <c r="G32" s="99" t="str">
        <f t="shared" si="1"/>
        <v/>
      </c>
      <c r="H32" s="101" t="str">
        <f>IF(ISBLANK(VLOOKUP($A32,'Cost &amp; Benefit Inputs'!$A:$AM,15,0)),"",VLOOKUP($A32,'Cost &amp; Benefit Inputs'!$A:$AM,15,0))</f>
        <v/>
      </c>
      <c r="I32" s="112" t="str">
        <f>IF(ISBLANK(VLOOKUP($A32,'Cost &amp; Benefit Inputs'!$A:$AM,16,0)),"",VLOOKUP($A32,'Cost &amp; Benefit Inputs'!$A:$AM,16,0))</f>
        <v/>
      </c>
      <c r="J32" s="108" t="str">
        <f t="shared" si="7"/>
        <v/>
      </c>
      <c r="K32" s="109" t="str">
        <f>VLOOKUP($A32,'Cost &amp; Benefit Inputs'!$A:$AM,17,0)</f>
        <v/>
      </c>
      <c r="L32" s="118"/>
      <c r="M32" s="119"/>
      <c r="N32" s="118"/>
      <c r="O32" s="119"/>
      <c r="P32" s="102" t="str">
        <f t="shared" si="2"/>
        <v/>
      </c>
      <c r="Q32" s="104" t="str">
        <f>IFERROR(VLOOKUP($A32,'Cost &amp; Benefit Inputs'!$A:$AM,12,0)/VLOOKUP($A32,'Cost &amp; Benefit Inputs'!$A:$AM,13,0),"")</f>
        <v/>
      </c>
      <c r="R32" s="102" t="str">
        <f t="shared" si="3"/>
        <v/>
      </c>
      <c r="S32" s="104" t="str">
        <f>VLOOKUP($A32,'Cost &amp; Benefit Inputs'!$A:$AM,39,0)</f>
        <v/>
      </c>
      <c r="T32" s="102" t="str">
        <f t="shared" si="4"/>
        <v/>
      </c>
      <c r="U32" s="105" t="str">
        <f>IFERROR(VLOOKUP($A32,'Cost &amp; Benefit Inputs'!$A:$AM,28,0)/VLOOKUP($A32,'Cost &amp; Benefit Inputs'!$A:$AM,16,0),"")</f>
        <v/>
      </c>
      <c r="V32" s="104" t="str">
        <f>IFERROR(VLOOKUP($A32,'Cost &amp; Benefit Inputs'!$A:$AM,29,0)/VLOOKUP($A32,'Cost &amp; Benefit Inputs'!$A:$AM,16,0),"")</f>
        <v/>
      </c>
      <c r="W32" s="102" t="str">
        <f t="shared" si="5"/>
        <v/>
      </c>
      <c r="X32" s="105" t="str">
        <f>IFERROR(VLOOKUP($A32,'Cost &amp; Benefit Inputs'!$A:$AM,31,0)/VLOOKUP($A32,'Cost &amp; Benefit Inputs'!$A:$AM,16,0),"")</f>
        <v/>
      </c>
      <c r="Y32" s="105" t="str">
        <f>IFERROR(VLOOKUP($A32,'Cost &amp; Benefit Inputs'!$A:$AM,32,0)/VLOOKUP($A32,'Cost &amp; Benefit Inputs'!$A:$AM,16,0),"")</f>
        <v/>
      </c>
      <c r="Z32" s="104" t="str">
        <f>IFERROR(VLOOKUP($A32,'Cost &amp; Benefit Inputs'!$A:$AM,33,0)/VLOOKUP($A32,'Cost &amp; Benefit Inputs'!$A:$AM,16,0),"")</f>
        <v/>
      </c>
      <c r="AA32" s="102" t="str">
        <f>IF('Cost &amp; Benefit Inputs'!Y34&gt;0,5,IF('Cost &amp; Benefit Inputs'!X34&gt;0,4,IF('Cost &amp; Benefit Inputs'!W34&gt;0,3,IF('Cost &amp; Benefit Inputs'!V34&gt;0,2,IF('Cost &amp; Benefit Inputs'!U34&gt;0,1,"")))))</f>
        <v/>
      </c>
      <c r="AB32" s="264">
        <f t="shared" si="6"/>
        <v>0</v>
      </c>
      <c r="AC32" s="222"/>
      <c r="AD32" s="222"/>
      <c r="AE32" s="222"/>
      <c r="AF32" s="222"/>
      <c r="AG32" s="222"/>
      <c r="AH32" s="222"/>
      <c r="AI32" s="222"/>
    </row>
    <row r="33" spans="1:35" x14ac:dyDescent="0.2">
      <c r="A33" s="98" t="s">
        <v>135</v>
      </c>
      <c r="B33" s="100">
        <f>VLOOKUP($A33,'Cost &amp; Benefit Inputs'!$A:$AM,2,0)</f>
        <v>0</v>
      </c>
      <c r="C33" s="122">
        <f>VLOOKUP($A33,'Cost &amp; Benefit Inputs'!$A:$AM,3,0)</f>
        <v>0</v>
      </c>
      <c r="D33" s="118"/>
      <c r="E33" s="119"/>
      <c r="F33" s="111" t="str">
        <f t="shared" si="0"/>
        <v/>
      </c>
      <c r="G33" s="99" t="str">
        <f t="shared" si="1"/>
        <v/>
      </c>
      <c r="H33" s="101" t="str">
        <f>IF(ISBLANK(VLOOKUP($A33,'Cost &amp; Benefit Inputs'!$A:$AM,15,0)),"",VLOOKUP($A33,'Cost &amp; Benefit Inputs'!$A:$AM,15,0))</f>
        <v/>
      </c>
      <c r="I33" s="112" t="str">
        <f>IF(ISBLANK(VLOOKUP($A33,'Cost &amp; Benefit Inputs'!$A:$AM,16,0)),"",VLOOKUP($A33,'Cost &amp; Benefit Inputs'!$A:$AM,16,0))</f>
        <v/>
      </c>
      <c r="J33" s="108" t="str">
        <f t="shared" si="7"/>
        <v/>
      </c>
      <c r="K33" s="109" t="str">
        <f>VLOOKUP($A33,'Cost &amp; Benefit Inputs'!$A:$AM,17,0)</f>
        <v/>
      </c>
      <c r="L33" s="118"/>
      <c r="M33" s="119"/>
      <c r="N33" s="118"/>
      <c r="O33" s="119"/>
      <c r="P33" s="102" t="str">
        <f t="shared" si="2"/>
        <v/>
      </c>
      <c r="Q33" s="104" t="str">
        <f>IFERROR(VLOOKUP($A33,'Cost &amp; Benefit Inputs'!$A:$AM,12,0)/VLOOKUP($A33,'Cost &amp; Benefit Inputs'!$A:$AM,13,0),"")</f>
        <v/>
      </c>
      <c r="R33" s="102" t="str">
        <f t="shared" si="3"/>
        <v/>
      </c>
      <c r="S33" s="104" t="str">
        <f>VLOOKUP($A33,'Cost &amp; Benefit Inputs'!$A:$AM,39,0)</f>
        <v/>
      </c>
      <c r="T33" s="102" t="str">
        <f t="shared" si="4"/>
        <v/>
      </c>
      <c r="U33" s="105" t="str">
        <f>IFERROR(VLOOKUP($A33,'Cost &amp; Benefit Inputs'!$A:$AM,28,0)/VLOOKUP($A33,'Cost &amp; Benefit Inputs'!$A:$AM,16,0),"")</f>
        <v/>
      </c>
      <c r="V33" s="104" t="str">
        <f>IFERROR(VLOOKUP($A33,'Cost &amp; Benefit Inputs'!$A:$AM,29,0)/VLOOKUP($A33,'Cost &amp; Benefit Inputs'!$A:$AM,16,0),"")</f>
        <v/>
      </c>
      <c r="W33" s="102" t="str">
        <f t="shared" si="5"/>
        <v/>
      </c>
      <c r="X33" s="105" t="str">
        <f>IFERROR(VLOOKUP($A33,'Cost &amp; Benefit Inputs'!$A:$AM,31,0)/VLOOKUP($A33,'Cost &amp; Benefit Inputs'!$A:$AM,16,0),"")</f>
        <v/>
      </c>
      <c r="Y33" s="105" t="str">
        <f>IFERROR(VLOOKUP($A33,'Cost &amp; Benefit Inputs'!$A:$AM,32,0)/VLOOKUP($A33,'Cost &amp; Benefit Inputs'!$A:$AM,16,0),"")</f>
        <v/>
      </c>
      <c r="Z33" s="104" t="str">
        <f>IFERROR(VLOOKUP($A33,'Cost &amp; Benefit Inputs'!$A:$AM,33,0)/VLOOKUP($A33,'Cost &amp; Benefit Inputs'!$A:$AM,16,0),"")</f>
        <v/>
      </c>
      <c r="AA33" s="102" t="str">
        <f>IF('Cost &amp; Benefit Inputs'!Y35&gt;0,5,IF('Cost &amp; Benefit Inputs'!X35&gt;0,4,IF('Cost &amp; Benefit Inputs'!W35&gt;0,3,IF('Cost &amp; Benefit Inputs'!V35&gt;0,2,IF('Cost &amp; Benefit Inputs'!U35&gt;0,1,"")))))</f>
        <v/>
      </c>
      <c r="AB33" s="264">
        <f t="shared" si="6"/>
        <v>0</v>
      </c>
      <c r="AC33" s="222"/>
      <c r="AD33" s="222"/>
      <c r="AE33" s="222"/>
      <c r="AF33" s="222"/>
      <c r="AG33" s="222"/>
      <c r="AH33" s="222"/>
      <c r="AI33" s="222"/>
    </row>
    <row r="34" spans="1:35" x14ac:dyDescent="0.2">
      <c r="A34" s="98" t="s">
        <v>136</v>
      </c>
      <c r="B34" s="100">
        <f>VLOOKUP($A34,'Cost &amp; Benefit Inputs'!$A:$AM,2,0)</f>
        <v>0</v>
      </c>
      <c r="C34" s="122">
        <f>VLOOKUP($A34,'Cost &amp; Benefit Inputs'!$A:$AM,3,0)</f>
        <v>0</v>
      </c>
      <c r="D34" s="118"/>
      <c r="E34" s="119"/>
      <c r="F34" s="111" t="str">
        <f t="shared" si="0"/>
        <v/>
      </c>
      <c r="G34" s="99" t="str">
        <f t="shared" si="1"/>
        <v/>
      </c>
      <c r="H34" s="101" t="str">
        <f>IF(ISBLANK(VLOOKUP($A34,'Cost &amp; Benefit Inputs'!$A:$AM,15,0)),"",VLOOKUP($A34,'Cost &amp; Benefit Inputs'!$A:$AM,15,0))</f>
        <v/>
      </c>
      <c r="I34" s="112" t="str">
        <f>IF(ISBLANK(VLOOKUP($A34,'Cost &amp; Benefit Inputs'!$A:$AM,16,0)),"",VLOOKUP($A34,'Cost &amp; Benefit Inputs'!$A:$AM,16,0))</f>
        <v/>
      </c>
      <c r="J34" s="108" t="str">
        <f t="shared" si="7"/>
        <v/>
      </c>
      <c r="K34" s="109" t="str">
        <f>VLOOKUP($A34,'Cost &amp; Benefit Inputs'!$A:$AM,17,0)</f>
        <v/>
      </c>
      <c r="L34" s="118"/>
      <c r="M34" s="119"/>
      <c r="N34" s="118"/>
      <c r="O34" s="119"/>
      <c r="P34" s="102" t="str">
        <f t="shared" si="2"/>
        <v/>
      </c>
      <c r="Q34" s="104" t="str">
        <f>IFERROR(VLOOKUP($A34,'Cost &amp; Benefit Inputs'!$A:$AM,12,0)/VLOOKUP($A34,'Cost &amp; Benefit Inputs'!$A:$AM,13,0),"")</f>
        <v/>
      </c>
      <c r="R34" s="102" t="str">
        <f t="shared" si="3"/>
        <v/>
      </c>
      <c r="S34" s="104" t="str">
        <f>VLOOKUP($A34,'Cost &amp; Benefit Inputs'!$A:$AM,39,0)</f>
        <v/>
      </c>
      <c r="T34" s="102" t="str">
        <f t="shared" si="4"/>
        <v/>
      </c>
      <c r="U34" s="105" t="str">
        <f>IFERROR(VLOOKUP($A34,'Cost &amp; Benefit Inputs'!$A:$AM,28,0)/VLOOKUP($A34,'Cost &amp; Benefit Inputs'!$A:$AM,16,0),"")</f>
        <v/>
      </c>
      <c r="V34" s="104" t="str">
        <f>IFERROR(VLOOKUP($A34,'Cost &amp; Benefit Inputs'!$A:$AM,29,0)/VLOOKUP($A34,'Cost &amp; Benefit Inputs'!$A:$AM,16,0),"")</f>
        <v/>
      </c>
      <c r="W34" s="102" t="str">
        <f t="shared" si="5"/>
        <v/>
      </c>
      <c r="X34" s="105" t="str">
        <f>IFERROR(VLOOKUP($A34,'Cost &amp; Benefit Inputs'!$A:$AM,31,0)/VLOOKUP($A34,'Cost &amp; Benefit Inputs'!$A:$AM,16,0),"")</f>
        <v/>
      </c>
      <c r="Y34" s="105" t="str">
        <f>IFERROR(VLOOKUP($A34,'Cost &amp; Benefit Inputs'!$A:$AM,32,0)/VLOOKUP($A34,'Cost &amp; Benefit Inputs'!$A:$AM,16,0),"")</f>
        <v/>
      </c>
      <c r="Z34" s="104" t="str">
        <f>IFERROR(VLOOKUP($A34,'Cost &amp; Benefit Inputs'!$A:$AM,33,0)/VLOOKUP($A34,'Cost &amp; Benefit Inputs'!$A:$AM,16,0),"")</f>
        <v/>
      </c>
      <c r="AA34" s="102" t="str">
        <f>IF('Cost &amp; Benefit Inputs'!Y36&gt;0,5,IF('Cost &amp; Benefit Inputs'!X36&gt;0,4,IF('Cost &amp; Benefit Inputs'!W36&gt;0,3,IF('Cost &amp; Benefit Inputs'!V36&gt;0,2,IF('Cost &amp; Benefit Inputs'!U36&gt;0,1,"")))))</f>
        <v/>
      </c>
      <c r="AB34" s="264">
        <f t="shared" si="6"/>
        <v>0</v>
      </c>
      <c r="AC34" s="222"/>
      <c r="AD34" s="222"/>
      <c r="AE34" s="222"/>
      <c r="AF34" s="222"/>
      <c r="AG34" s="222"/>
      <c r="AH34" s="222"/>
      <c r="AI34" s="222"/>
    </row>
    <row r="35" spans="1:35" x14ac:dyDescent="0.2">
      <c r="A35" s="98" t="s">
        <v>137</v>
      </c>
      <c r="B35" s="100">
        <f>VLOOKUP($A35,'Cost &amp; Benefit Inputs'!$A:$AM,2,0)</f>
        <v>0</v>
      </c>
      <c r="C35" s="122">
        <f>VLOOKUP($A35,'Cost &amp; Benefit Inputs'!$A:$AM,3,0)</f>
        <v>0</v>
      </c>
      <c r="D35" s="118"/>
      <c r="E35" s="119"/>
      <c r="F35" s="111" t="str">
        <f t="shared" si="0"/>
        <v/>
      </c>
      <c r="G35" s="99" t="str">
        <f t="shared" si="1"/>
        <v/>
      </c>
      <c r="H35" s="101" t="str">
        <f>IF(ISBLANK(VLOOKUP($A35,'Cost &amp; Benefit Inputs'!$A:$AM,15,0)),"",VLOOKUP($A35,'Cost &amp; Benefit Inputs'!$A:$AM,15,0))</f>
        <v/>
      </c>
      <c r="I35" s="112" t="str">
        <f>IF(ISBLANK(VLOOKUP($A35,'Cost &amp; Benefit Inputs'!$A:$AM,16,0)),"",VLOOKUP($A35,'Cost &amp; Benefit Inputs'!$A:$AM,16,0))</f>
        <v/>
      </c>
      <c r="J35" s="108" t="str">
        <f t="shared" si="7"/>
        <v/>
      </c>
      <c r="K35" s="109" t="str">
        <f>VLOOKUP($A35,'Cost &amp; Benefit Inputs'!$A:$AM,17,0)</f>
        <v/>
      </c>
      <c r="L35" s="118"/>
      <c r="M35" s="119"/>
      <c r="N35" s="118"/>
      <c r="O35" s="119"/>
      <c r="P35" s="102" t="str">
        <f t="shared" si="2"/>
        <v/>
      </c>
      <c r="Q35" s="104" t="str">
        <f>IFERROR(VLOOKUP($A35,'Cost &amp; Benefit Inputs'!$A:$AM,12,0)/VLOOKUP($A35,'Cost &amp; Benefit Inputs'!$A:$AM,13,0),"")</f>
        <v/>
      </c>
      <c r="R35" s="102" t="str">
        <f t="shared" si="3"/>
        <v/>
      </c>
      <c r="S35" s="104" t="str">
        <f>VLOOKUP($A35,'Cost &amp; Benefit Inputs'!$A:$AM,39,0)</f>
        <v/>
      </c>
      <c r="T35" s="102" t="str">
        <f t="shared" si="4"/>
        <v/>
      </c>
      <c r="U35" s="105" t="str">
        <f>IFERROR(VLOOKUP($A35,'Cost &amp; Benefit Inputs'!$A:$AM,28,0)/VLOOKUP($A35,'Cost &amp; Benefit Inputs'!$A:$AM,16,0),"")</f>
        <v/>
      </c>
      <c r="V35" s="104" t="str">
        <f>IFERROR(VLOOKUP($A35,'Cost &amp; Benefit Inputs'!$A:$AM,29,0)/VLOOKUP($A35,'Cost &amp; Benefit Inputs'!$A:$AM,16,0),"")</f>
        <v/>
      </c>
      <c r="W35" s="102" t="str">
        <f t="shared" si="5"/>
        <v/>
      </c>
      <c r="X35" s="105" t="str">
        <f>IFERROR(VLOOKUP($A35,'Cost &amp; Benefit Inputs'!$A:$AM,31,0)/VLOOKUP($A35,'Cost &amp; Benefit Inputs'!$A:$AM,16,0),"")</f>
        <v/>
      </c>
      <c r="Y35" s="105" t="str">
        <f>IFERROR(VLOOKUP($A35,'Cost &amp; Benefit Inputs'!$A:$AM,32,0)/VLOOKUP($A35,'Cost &amp; Benefit Inputs'!$A:$AM,16,0),"")</f>
        <v/>
      </c>
      <c r="Z35" s="104" t="str">
        <f>IFERROR(VLOOKUP($A35,'Cost &amp; Benefit Inputs'!$A:$AM,33,0)/VLOOKUP($A35,'Cost &amp; Benefit Inputs'!$A:$AM,16,0),"")</f>
        <v/>
      </c>
      <c r="AA35" s="102" t="str">
        <f>IF('Cost &amp; Benefit Inputs'!Y37&gt;0,5,IF('Cost &amp; Benefit Inputs'!X37&gt;0,4,IF('Cost &amp; Benefit Inputs'!W37&gt;0,3,IF('Cost &amp; Benefit Inputs'!V37&gt;0,2,IF('Cost &amp; Benefit Inputs'!U37&gt;0,1,"")))))</f>
        <v/>
      </c>
      <c r="AB35" s="264">
        <f t="shared" si="6"/>
        <v>0</v>
      </c>
      <c r="AC35" s="222"/>
      <c r="AD35" s="222"/>
      <c r="AE35" s="222"/>
      <c r="AF35" s="222"/>
      <c r="AG35" s="222"/>
      <c r="AH35" s="222"/>
      <c r="AI35" s="222"/>
    </row>
    <row r="36" spans="1:35" x14ac:dyDescent="0.2">
      <c r="A36" s="98" t="s">
        <v>232</v>
      </c>
      <c r="B36" s="100">
        <f>VLOOKUP($A36,'Cost &amp; Benefit Inputs'!$A:$AM,2,0)</f>
        <v>0</v>
      </c>
      <c r="C36" s="122">
        <f>VLOOKUP($A36,'Cost &amp; Benefit Inputs'!$A:$AM,3,0)</f>
        <v>0</v>
      </c>
      <c r="D36" s="118"/>
      <c r="E36" s="119"/>
      <c r="F36" s="111" t="str">
        <f t="shared" si="0"/>
        <v/>
      </c>
      <c r="G36" s="99" t="str">
        <f t="shared" si="1"/>
        <v/>
      </c>
      <c r="H36" s="101" t="str">
        <f>IF(ISBLANK(VLOOKUP($A36,'Cost &amp; Benefit Inputs'!$A:$AM,15,0)),"",VLOOKUP($A36,'Cost &amp; Benefit Inputs'!$A:$AM,15,0))</f>
        <v/>
      </c>
      <c r="I36" s="112" t="str">
        <f>IF(ISBLANK(VLOOKUP($A36,'Cost &amp; Benefit Inputs'!$A:$AM,16,0)),"",VLOOKUP($A36,'Cost &amp; Benefit Inputs'!$A:$AM,16,0))</f>
        <v/>
      </c>
      <c r="J36" s="108" t="str">
        <f t="shared" si="7"/>
        <v/>
      </c>
      <c r="K36" s="109" t="str">
        <f>VLOOKUP($A36,'Cost &amp; Benefit Inputs'!$A:$AM,17,0)</f>
        <v/>
      </c>
      <c r="L36" s="118"/>
      <c r="M36" s="119"/>
      <c r="N36" s="118"/>
      <c r="O36" s="119"/>
      <c r="P36" s="102" t="str">
        <f t="shared" si="2"/>
        <v/>
      </c>
      <c r="Q36" s="104" t="str">
        <f>IFERROR(VLOOKUP($A36,'Cost &amp; Benefit Inputs'!$A:$AM,12,0)/VLOOKUP($A36,'Cost &amp; Benefit Inputs'!$A:$AM,13,0),"")</f>
        <v/>
      </c>
      <c r="R36" s="102" t="str">
        <f t="shared" si="3"/>
        <v/>
      </c>
      <c r="S36" s="104" t="str">
        <f>VLOOKUP($A36,'Cost &amp; Benefit Inputs'!$A:$AM,39,0)</f>
        <v/>
      </c>
      <c r="T36" s="102" t="str">
        <f t="shared" si="4"/>
        <v/>
      </c>
      <c r="U36" s="105" t="str">
        <f>IFERROR(VLOOKUP($A36,'Cost &amp; Benefit Inputs'!$A:$AM,28,0)/VLOOKUP($A36,'Cost &amp; Benefit Inputs'!$A:$AM,16,0),"")</f>
        <v/>
      </c>
      <c r="V36" s="104" t="str">
        <f>IFERROR(VLOOKUP($A36,'Cost &amp; Benefit Inputs'!$A:$AM,29,0)/VLOOKUP($A36,'Cost &amp; Benefit Inputs'!$A:$AM,16,0),"")</f>
        <v/>
      </c>
      <c r="W36" s="102" t="str">
        <f t="shared" si="5"/>
        <v/>
      </c>
      <c r="X36" s="105" t="str">
        <f>IFERROR(VLOOKUP($A36,'Cost &amp; Benefit Inputs'!$A:$AM,31,0)/VLOOKUP($A36,'Cost &amp; Benefit Inputs'!$A:$AM,16,0),"")</f>
        <v/>
      </c>
      <c r="Y36" s="105" t="str">
        <f>IFERROR(VLOOKUP($A36,'Cost &amp; Benefit Inputs'!$A:$AM,32,0)/VLOOKUP($A36,'Cost &amp; Benefit Inputs'!$A:$AM,16,0),"")</f>
        <v/>
      </c>
      <c r="Z36" s="104" t="str">
        <f>IFERROR(VLOOKUP($A36,'Cost &amp; Benefit Inputs'!$A:$AM,33,0)/VLOOKUP($A36,'Cost &amp; Benefit Inputs'!$A:$AM,16,0),"")</f>
        <v/>
      </c>
      <c r="AA36" s="102" t="str">
        <f>IF('Cost &amp; Benefit Inputs'!Y38&gt;0,5,IF('Cost &amp; Benefit Inputs'!X38&gt;0,4,IF('Cost &amp; Benefit Inputs'!W38&gt;0,3,IF('Cost &amp; Benefit Inputs'!V38&gt;0,2,IF('Cost &amp; Benefit Inputs'!U38&gt;0,1,"")))))</f>
        <v/>
      </c>
      <c r="AB36" s="264">
        <f t="shared" si="6"/>
        <v>0</v>
      </c>
      <c r="AC36" s="222"/>
      <c r="AD36" s="222"/>
      <c r="AE36" s="222"/>
      <c r="AF36" s="222"/>
      <c r="AG36" s="222"/>
      <c r="AH36" s="222"/>
      <c r="AI36" s="222"/>
    </row>
    <row r="37" spans="1:35" ht="17" thickBot="1" x14ac:dyDescent="0.25">
      <c r="A37" s="98" t="s">
        <v>237</v>
      </c>
      <c r="B37" s="123">
        <f>VLOOKUP($A37,'Cost &amp; Benefit Inputs'!$A:$AM,2,0)</f>
        <v>0</v>
      </c>
      <c r="C37" s="124">
        <f>VLOOKUP($A37,'Cost &amp; Benefit Inputs'!$A:$AM,3,0)</f>
        <v>0</v>
      </c>
      <c r="D37" s="120"/>
      <c r="E37" s="121"/>
      <c r="F37" s="113" t="str">
        <f t="shared" si="0"/>
        <v/>
      </c>
      <c r="G37" s="114" t="str">
        <f t="shared" si="1"/>
        <v/>
      </c>
      <c r="H37" s="115" t="str">
        <f>IF(ISBLANK(VLOOKUP($A37,'Cost &amp; Benefit Inputs'!$A:$AM,15,0)),"",VLOOKUP($A37,'Cost &amp; Benefit Inputs'!$A:$AM,15,0))</f>
        <v/>
      </c>
      <c r="I37" s="116" t="str">
        <f>IF(ISBLANK(VLOOKUP($A37,'Cost &amp; Benefit Inputs'!$A:$AM,16,0)),"",VLOOKUP($A37,'Cost &amp; Benefit Inputs'!$A:$AM,16,0))</f>
        <v/>
      </c>
      <c r="J37" s="108" t="str">
        <f t="shared" si="7"/>
        <v/>
      </c>
      <c r="K37" s="110" t="str">
        <f>VLOOKUP($A37,'Cost &amp; Benefit Inputs'!$A:$AM,17,0)</f>
        <v/>
      </c>
      <c r="L37" s="120"/>
      <c r="M37" s="121"/>
      <c r="N37" s="120"/>
      <c r="O37" s="121"/>
      <c r="P37" s="103" t="str">
        <f t="shared" si="2"/>
        <v/>
      </c>
      <c r="Q37" s="106" t="str">
        <f>IFERROR(VLOOKUP($A37,'Cost &amp; Benefit Inputs'!$A:$AM,12,0)/VLOOKUP($A37,'Cost &amp; Benefit Inputs'!$A:$AM,13,0),"")</f>
        <v/>
      </c>
      <c r="R37" s="103" t="str">
        <f t="shared" si="3"/>
        <v/>
      </c>
      <c r="S37" s="106" t="str">
        <f>VLOOKUP($A37,'Cost &amp; Benefit Inputs'!$A:$AM,39,0)</f>
        <v/>
      </c>
      <c r="T37" s="103" t="str">
        <f t="shared" si="4"/>
        <v/>
      </c>
      <c r="U37" s="107" t="str">
        <f>IFERROR(VLOOKUP($A37,'Cost &amp; Benefit Inputs'!$A:$AM,28,0)/VLOOKUP($A37,'Cost &amp; Benefit Inputs'!$A:$AM,16,0),"")</f>
        <v/>
      </c>
      <c r="V37" s="106" t="str">
        <f>IFERROR(VLOOKUP($A37,'Cost &amp; Benefit Inputs'!$A:$AM,29,0)/VLOOKUP($A37,'Cost &amp; Benefit Inputs'!$A:$AM,16,0),"")</f>
        <v/>
      </c>
      <c r="W37" s="103" t="str">
        <f t="shared" si="5"/>
        <v/>
      </c>
      <c r="X37" s="107" t="str">
        <f>IFERROR(VLOOKUP($A37,'Cost &amp; Benefit Inputs'!$A:$AM,31,0)/VLOOKUP($A37,'Cost &amp; Benefit Inputs'!$A:$AM,16,0),"")</f>
        <v/>
      </c>
      <c r="Y37" s="107" t="str">
        <f>IFERROR(VLOOKUP($A37,'Cost &amp; Benefit Inputs'!$A:$AM,32,0)/VLOOKUP($A37,'Cost &amp; Benefit Inputs'!$A:$AM,16,0),"")</f>
        <v/>
      </c>
      <c r="Z37" s="106" t="str">
        <f>IFERROR(VLOOKUP($A37,'Cost &amp; Benefit Inputs'!$A:$AM,33,0)/VLOOKUP($A37,'Cost &amp; Benefit Inputs'!$A:$AM,16,0),"")</f>
        <v/>
      </c>
      <c r="AA37" s="103" t="str">
        <f>IF('Cost &amp; Benefit Inputs'!Y39&gt;0,5,IF('Cost &amp; Benefit Inputs'!X39&gt;0,4,IF('Cost &amp; Benefit Inputs'!W39&gt;0,3,IF('Cost &amp; Benefit Inputs'!V39&gt;0,2,IF('Cost &amp; Benefit Inputs'!U39&gt;0,1,"")))))</f>
        <v/>
      </c>
      <c r="AB37" s="265">
        <f t="shared" si="6"/>
        <v>0</v>
      </c>
      <c r="AC37" s="223"/>
      <c r="AD37" s="223"/>
      <c r="AE37" s="223"/>
      <c r="AF37" s="223"/>
      <c r="AG37" s="223"/>
      <c r="AH37" s="223"/>
      <c r="AI37" s="222"/>
    </row>
    <row r="38" spans="1:35" x14ac:dyDescent="0.2">
      <c r="D38" s="97"/>
      <c r="E38" s="96"/>
      <c r="F38" s="96"/>
      <c r="G38" s="96"/>
      <c r="H38" s="96"/>
      <c r="I38" s="96"/>
      <c r="J38" s="96"/>
      <c r="K38" s="96"/>
      <c r="L38" s="97"/>
      <c r="M38" s="96"/>
      <c r="N38" s="97"/>
      <c r="O38" s="96"/>
      <c r="P38" s="96"/>
      <c r="Q38" s="96"/>
      <c r="R38" s="96"/>
      <c r="S38" s="96"/>
      <c r="T38" s="96"/>
      <c r="U38" s="96"/>
      <c r="V38" s="96"/>
      <c r="W38" s="97"/>
      <c r="X38" s="96"/>
      <c r="Y38" s="96"/>
      <c r="Z38" s="96"/>
      <c r="AA38" s="96"/>
      <c r="AB38" s="96"/>
      <c r="AC38" s="96"/>
      <c r="AD38" s="96"/>
      <c r="AE38" s="96"/>
      <c r="AF38" s="96"/>
      <c r="AG38" s="96"/>
    </row>
    <row r="39" spans="1:35" x14ac:dyDescent="0.2">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row>
    <row r="40" spans="1:35" hidden="1" x14ac:dyDescent="0.2">
      <c r="A40">
        <v>1</v>
      </c>
      <c r="B40">
        <f>A40+1</f>
        <v>2</v>
      </c>
      <c r="C40">
        <f t="shared" ref="C40:AI40" si="29">B40+1</f>
        <v>3</v>
      </c>
      <c r="D40">
        <f t="shared" si="29"/>
        <v>4</v>
      </c>
      <c r="E40">
        <f t="shared" si="29"/>
        <v>5</v>
      </c>
      <c r="F40">
        <f t="shared" si="29"/>
        <v>6</v>
      </c>
      <c r="G40">
        <f t="shared" si="29"/>
        <v>7</v>
      </c>
      <c r="H40">
        <f t="shared" si="29"/>
        <v>8</v>
      </c>
      <c r="I40">
        <f t="shared" si="29"/>
        <v>9</v>
      </c>
      <c r="J40">
        <f t="shared" si="29"/>
        <v>10</v>
      </c>
      <c r="K40">
        <f t="shared" si="29"/>
        <v>11</v>
      </c>
      <c r="L40">
        <f t="shared" si="29"/>
        <v>12</v>
      </c>
      <c r="M40">
        <f t="shared" si="29"/>
        <v>13</v>
      </c>
      <c r="N40">
        <f t="shared" si="29"/>
        <v>14</v>
      </c>
      <c r="O40">
        <f t="shared" si="29"/>
        <v>15</v>
      </c>
      <c r="P40">
        <f t="shared" si="29"/>
        <v>16</v>
      </c>
      <c r="Q40">
        <f t="shared" si="29"/>
        <v>17</v>
      </c>
      <c r="R40">
        <f t="shared" si="29"/>
        <v>18</v>
      </c>
      <c r="S40">
        <f t="shared" si="29"/>
        <v>19</v>
      </c>
      <c r="T40">
        <f t="shared" si="29"/>
        <v>20</v>
      </c>
      <c r="U40">
        <f t="shared" si="29"/>
        <v>21</v>
      </c>
      <c r="V40">
        <f t="shared" si="29"/>
        <v>22</v>
      </c>
      <c r="W40">
        <f t="shared" si="29"/>
        <v>23</v>
      </c>
      <c r="X40">
        <f t="shared" si="29"/>
        <v>24</v>
      </c>
      <c r="Y40">
        <f t="shared" si="29"/>
        <v>25</v>
      </c>
      <c r="Z40">
        <f t="shared" si="29"/>
        <v>26</v>
      </c>
      <c r="AA40">
        <f t="shared" si="29"/>
        <v>27</v>
      </c>
      <c r="AB40">
        <f t="shared" si="29"/>
        <v>28</v>
      </c>
      <c r="AC40">
        <f t="shared" si="29"/>
        <v>29</v>
      </c>
      <c r="AD40">
        <f t="shared" si="29"/>
        <v>30</v>
      </c>
      <c r="AE40">
        <f t="shared" si="29"/>
        <v>31</v>
      </c>
      <c r="AF40">
        <f t="shared" si="29"/>
        <v>32</v>
      </c>
      <c r="AG40">
        <f t="shared" si="29"/>
        <v>33</v>
      </c>
      <c r="AH40">
        <f t="shared" si="29"/>
        <v>34</v>
      </c>
      <c r="AI40">
        <f t="shared" si="29"/>
        <v>35</v>
      </c>
    </row>
    <row r="41" spans="1:35" x14ac:dyDescent="0.2">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row>
    <row r="42" spans="1:35" x14ac:dyDescent="0.2">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row>
    <row r="43" spans="1:35" x14ac:dyDescent="0.2">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row>
    <row r="44" spans="1:35" x14ac:dyDescent="0.2">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row>
    <row r="45" spans="1:35" x14ac:dyDescent="0.2">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row>
    <row r="46" spans="1:35" x14ac:dyDescent="0.2">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row>
  </sheetData>
  <mergeCells count="15">
    <mergeCell ref="AI4:AI5"/>
    <mergeCell ref="AB4:AG4"/>
    <mergeCell ref="AH4:AH5"/>
    <mergeCell ref="W4:Z4"/>
    <mergeCell ref="J4:K4"/>
    <mergeCell ref="P4:Q4"/>
    <mergeCell ref="L4:M4"/>
    <mergeCell ref="R4:S4"/>
    <mergeCell ref="T4:V4"/>
    <mergeCell ref="N4:O4"/>
    <mergeCell ref="A4:A5"/>
    <mergeCell ref="B4:B5"/>
    <mergeCell ref="C4:C5"/>
    <mergeCell ref="D4:E4"/>
    <mergeCell ref="F4:I4"/>
  </mergeCells>
  <dataValidations count="4">
    <dataValidation type="list" allowBlank="1" showInputMessage="1" showErrorMessage="1" sqref="D6:D8 D10:D12 D21:D37 D14:D16 D18:D19">
      <formula1>"Yes, No"</formula1>
    </dataValidation>
    <dataValidation type="list" allowBlank="1" showInputMessage="1" showErrorMessage="1" sqref="T6:T37 R6:R37 P6:P37 W6:W37 L6:L37 N6:N37">
      <formula1>"High, Med, Low"</formula1>
    </dataValidation>
    <dataValidation type="decimal" allowBlank="1" showInputMessage="1" showErrorMessage="1" sqref="AB6:AB37">
      <formula1>0</formula1>
      <formula2>1</formula2>
    </dataValidation>
    <dataValidation type="list" allowBlank="1" showInputMessage="1" showErrorMessage="1" sqref="D9 D17 D20 D13">
      <formula1>"Yes, No, Maybe"</formula1>
    </dataValidation>
  </dataValidations>
  <pageMargins left="0.75" right="0.75" top="1" bottom="1" header="0.5" footer="0.5"/>
  <pageSetup orientation="portrait" horizontalDpi="4294967292" verticalDpi="4294967292"/>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39997558519241921"/>
  </sheetPr>
  <dimension ref="A1:AQ43"/>
  <sheetViews>
    <sheetView showGridLines="0" zoomScale="125" zoomScaleNormal="125" zoomScalePageLayoutView="125" workbookViewId="0">
      <pane xSplit="2" ySplit="6" topLeftCell="C10" activePane="bottomRight" state="frozen"/>
      <selection pane="topRight" activeCell="C1" sqref="C1"/>
      <selection pane="bottomLeft" activeCell="A7" sqref="A7"/>
      <selection pane="bottomRight" activeCell="B2" sqref="B2"/>
    </sheetView>
  </sheetViews>
  <sheetFormatPr baseColWidth="10" defaultColWidth="16.6640625" defaultRowHeight="16" x14ac:dyDescent="0.2"/>
  <cols>
    <col min="1" max="1" width="12" customWidth="1"/>
    <col min="2" max="2" width="42.6640625" customWidth="1"/>
    <col min="3" max="3" width="21.6640625" customWidth="1"/>
    <col min="4" max="4" width="2.83203125" customWidth="1"/>
    <col min="5" max="5" width="12.6640625" customWidth="1"/>
    <col min="6" max="6" width="11.1640625" customWidth="1"/>
    <col min="7" max="8" width="17.83203125" customWidth="1"/>
    <col min="9" max="9" width="15.5" customWidth="1"/>
    <col min="10" max="10" width="0.1640625" customWidth="1"/>
    <col min="11" max="11" width="16.83203125" customWidth="1"/>
    <col min="12" max="12" width="13.83203125" bestFit="1" customWidth="1"/>
    <col min="13" max="13" width="13.1640625" bestFit="1" customWidth="1"/>
    <col min="14" max="14" width="15.83203125" bestFit="1" customWidth="1"/>
    <col min="15" max="15" width="14.1640625" bestFit="1" customWidth="1"/>
    <col min="16" max="16" width="14" bestFit="1" customWidth="1"/>
    <col min="17" max="17" width="9.5" style="65" customWidth="1"/>
    <col min="18" max="19" width="13" style="65" customWidth="1"/>
    <col min="20" max="20" width="1.33203125" customWidth="1"/>
    <col min="21" max="23" width="4.6640625" hidden="1" customWidth="1"/>
    <col min="24" max="24" width="5" hidden="1" customWidth="1"/>
    <col min="25" max="25" width="11.6640625" hidden="1" customWidth="1"/>
    <col min="26" max="26" width="11.1640625" hidden="1" customWidth="1"/>
    <col min="27" max="27" width="1.83203125" customWidth="1"/>
    <col min="30" max="30" width="1.83203125" customWidth="1"/>
    <col min="34" max="34" width="1.33203125" customWidth="1"/>
    <col min="41" max="43" width="0" hidden="1" customWidth="1"/>
  </cols>
  <sheetData>
    <row r="1" spans="1:43" ht="24" x14ac:dyDescent="0.3">
      <c r="B1" s="1" t="s">
        <v>176</v>
      </c>
      <c r="G1" s="1"/>
      <c r="H1" s="1"/>
      <c r="L1" s="2"/>
    </row>
    <row r="2" spans="1:43" x14ac:dyDescent="0.2">
      <c r="B2" s="30" t="s">
        <v>21</v>
      </c>
    </row>
    <row r="3" spans="1:43" x14ac:dyDescent="0.2">
      <c r="V3" s="220"/>
    </row>
    <row r="4" spans="1:43" x14ac:dyDescent="0.2">
      <c r="O4" s="220"/>
    </row>
    <row r="5" spans="1:43" ht="20" thickBot="1" x14ac:dyDescent="0.3">
      <c r="A5" s="18" t="s">
        <v>15</v>
      </c>
      <c r="B5" s="16"/>
      <c r="G5" s="18" t="s">
        <v>269</v>
      </c>
      <c r="H5" s="18"/>
      <c r="I5" s="16"/>
      <c r="O5" s="220"/>
      <c r="U5" s="18" t="s">
        <v>17</v>
      </c>
      <c r="V5" s="16"/>
      <c r="AB5" s="18" t="s">
        <v>273</v>
      </c>
      <c r="AE5" s="18" t="s">
        <v>274</v>
      </c>
      <c r="AI5" s="18" t="s">
        <v>139</v>
      </c>
      <c r="AJ5" s="18"/>
      <c r="AO5" s="18" t="s">
        <v>212</v>
      </c>
    </row>
    <row r="6" spans="1:43" ht="106" thickBot="1" x14ac:dyDescent="0.25">
      <c r="A6" s="50" t="s">
        <v>1</v>
      </c>
      <c r="B6" s="19" t="s">
        <v>14</v>
      </c>
      <c r="C6" s="20" t="s">
        <v>138</v>
      </c>
      <c r="D6" s="17"/>
      <c r="E6" s="278" t="s">
        <v>242</v>
      </c>
      <c r="F6" s="277" t="s">
        <v>243</v>
      </c>
      <c r="G6" s="23" t="s">
        <v>238</v>
      </c>
      <c r="H6" s="271" t="s">
        <v>240</v>
      </c>
      <c r="I6" s="21" t="s">
        <v>5</v>
      </c>
      <c r="J6" s="21" t="s">
        <v>13</v>
      </c>
      <c r="K6" s="21" t="s">
        <v>6</v>
      </c>
      <c r="L6" s="26" t="s">
        <v>7</v>
      </c>
      <c r="M6" s="21" t="s">
        <v>8</v>
      </c>
      <c r="N6" s="26" t="s">
        <v>9</v>
      </c>
      <c r="O6" s="21" t="s">
        <v>10</v>
      </c>
      <c r="P6" s="27" t="s">
        <v>272</v>
      </c>
      <c r="Q6" s="66" t="s">
        <v>12</v>
      </c>
      <c r="R6" s="276" t="s">
        <v>270</v>
      </c>
      <c r="S6" s="66" t="s">
        <v>271</v>
      </c>
      <c r="U6" s="23">
        <v>2013</v>
      </c>
      <c r="V6" s="21">
        <v>2014</v>
      </c>
      <c r="W6" s="21">
        <v>2015</v>
      </c>
      <c r="X6" s="26">
        <v>2016</v>
      </c>
      <c r="Y6" s="21">
        <v>2017</v>
      </c>
      <c r="Z6" s="27" t="s">
        <v>18</v>
      </c>
      <c r="AB6" s="23" t="s">
        <v>246</v>
      </c>
      <c r="AC6" s="24" t="s">
        <v>19</v>
      </c>
      <c r="AE6" s="23" t="s">
        <v>4</v>
      </c>
      <c r="AF6" s="26" t="s">
        <v>22</v>
      </c>
      <c r="AG6" s="27" t="s">
        <v>23</v>
      </c>
      <c r="AI6" s="23" t="s">
        <v>275</v>
      </c>
      <c r="AJ6" s="25" t="s">
        <v>276</v>
      </c>
      <c r="AK6" s="26" t="s">
        <v>272</v>
      </c>
      <c r="AL6" s="22" t="s">
        <v>277</v>
      </c>
      <c r="AM6" s="24" t="s">
        <v>141</v>
      </c>
      <c r="AO6" s="21" t="s">
        <v>10</v>
      </c>
      <c r="AP6" s="27" t="s">
        <v>11</v>
      </c>
      <c r="AQ6" s="66" t="s">
        <v>12</v>
      </c>
    </row>
    <row r="7" spans="1:43" x14ac:dyDescent="0.2">
      <c r="A7" s="36"/>
      <c r="B7" s="47"/>
      <c r="C7" s="37"/>
      <c r="E7" s="81"/>
      <c r="F7" s="272"/>
      <c r="G7" s="81">
        <f t="shared" ref="G7:S7" si="0">SUM(G8:G39)</f>
        <v>472.74165349917473</v>
      </c>
      <c r="H7" s="272">
        <f t="shared" si="0"/>
        <v>284</v>
      </c>
      <c r="I7" s="62">
        <f t="shared" si="0"/>
        <v>848660</v>
      </c>
      <c r="J7" s="62">
        <f t="shared" si="0"/>
        <v>0.1</v>
      </c>
      <c r="K7" s="62">
        <f t="shared" si="0"/>
        <v>763794</v>
      </c>
      <c r="L7" s="63">
        <f t="shared" si="0"/>
        <v>2116331.7324781725</v>
      </c>
      <c r="M7" s="62">
        <f t="shared" si="0"/>
        <v>2880125.7324781725</v>
      </c>
      <c r="N7" s="63">
        <f t="shared" si="0"/>
        <v>6597266.9455258707</v>
      </c>
      <c r="O7" s="62">
        <f t="shared" si="0"/>
        <v>3717141.2130476981</v>
      </c>
      <c r="P7" s="64">
        <f t="shared" si="0"/>
        <v>1437180.5608484559</v>
      </c>
      <c r="Q7" s="67">
        <f>O7/P7</f>
        <v>2.5864121143228109</v>
      </c>
      <c r="R7" s="62">
        <f t="shared" si="0"/>
        <v>2235627.1419050689</v>
      </c>
      <c r="S7" s="64">
        <f t="shared" si="0"/>
        <v>430332</v>
      </c>
      <c r="U7" s="82">
        <f t="shared" ref="U7:Z7" si="1">SUM(U8:U39)</f>
        <v>0</v>
      </c>
      <c r="V7" s="62">
        <f t="shared" si="1"/>
        <v>0</v>
      </c>
      <c r="W7" s="62">
        <f t="shared" si="1"/>
        <v>0</v>
      </c>
      <c r="X7" s="62">
        <f t="shared" si="1"/>
        <v>0</v>
      </c>
      <c r="Y7" s="62">
        <f t="shared" si="1"/>
        <v>1437180.5608484559</v>
      </c>
      <c r="Z7" s="64">
        <f t="shared" si="1"/>
        <v>1437180.5608484559</v>
      </c>
      <c r="AB7" s="82">
        <f>SUM(AB8:AB39)</f>
        <v>619660</v>
      </c>
      <c r="AC7" s="88">
        <f>SUM(AC8:AC39)</f>
        <v>817520.56084845588</v>
      </c>
      <c r="AD7" s="31"/>
      <c r="AE7" s="82">
        <f>SUM(AE8:AE39)</f>
        <v>517020.56084845593</v>
      </c>
      <c r="AF7" s="63">
        <f>SUM(AF8:AF39)</f>
        <v>920160</v>
      </c>
      <c r="AG7" s="64">
        <f>SUM(AG8:AG39)</f>
        <v>0</v>
      </c>
      <c r="AH7" s="31"/>
      <c r="AI7" s="82">
        <f>SUM(AI8:AI39)</f>
        <v>2235627.1419050689</v>
      </c>
      <c r="AJ7" s="62">
        <f>SUM(AJ8:AJ39)</f>
        <v>430332</v>
      </c>
      <c r="AK7" s="63">
        <f>SUM(AK8:AK39)</f>
        <v>1437180.5608484559</v>
      </c>
      <c r="AL7" s="88">
        <f t="shared" ref="AL7:AL8" si="2">SUM(AI7:AK7)</f>
        <v>4103139.7027535248</v>
      </c>
      <c r="AM7" s="52">
        <f>(AI7+AJ7)/AK7</f>
        <v>1.8549924863520209</v>
      </c>
      <c r="AO7" s="62">
        <f>SUM(AO8:AO39)</f>
        <v>0</v>
      </c>
      <c r="AP7" s="64">
        <f>SUM(AP8:AP39)</f>
        <v>0</v>
      </c>
      <c r="AQ7" s="67" t="e">
        <f>AO7/AP7</f>
        <v>#DIV/0!</v>
      </c>
    </row>
    <row r="8" spans="1:43" s="49" customFormat="1" x14ac:dyDescent="0.2">
      <c r="A8" s="51" t="s">
        <v>108</v>
      </c>
      <c r="B8" s="241" t="s">
        <v>231</v>
      </c>
      <c r="C8" s="224" t="s">
        <v>162</v>
      </c>
      <c r="D8" s="48"/>
      <c r="E8" s="78"/>
      <c r="F8" s="273"/>
      <c r="G8" s="78"/>
      <c r="H8" s="273"/>
      <c r="I8" s="70"/>
      <c r="J8" s="71"/>
      <c r="K8" s="70"/>
      <c r="L8" s="70"/>
      <c r="M8" s="70"/>
      <c r="N8" s="70"/>
      <c r="O8" s="70"/>
      <c r="P8" s="72"/>
      <c r="Q8" s="68" t="str">
        <f>IF(ISERROR(O8/P8),"",O8/P8)</f>
        <v/>
      </c>
      <c r="R8" s="70"/>
      <c r="S8" s="72"/>
      <c r="U8" s="83"/>
      <c r="V8" s="70"/>
      <c r="W8" s="70"/>
      <c r="X8" s="73"/>
      <c r="Y8" s="70">
        <f>P8</f>
        <v>0</v>
      </c>
      <c r="Z8" s="84">
        <f>SUM(U8:Y8)</f>
        <v>0</v>
      </c>
      <c r="AB8" s="83"/>
      <c r="AC8" s="84">
        <f>P8-AB8</f>
        <v>0</v>
      </c>
      <c r="AD8" s="89"/>
      <c r="AE8" s="90">
        <f>P8-AF8-AG8</f>
        <v>0</v>
      </c>
      <c r="AF8" s="70"/>
      <c r="AG8" s="72"/>
      <c r="AH8" s="89"/>
      <c r="AI8" s="85"/>
      <c r="AJ8" s="73"/>
      <c r="AK8" s="92">
        <f>P8</f>
        <v>0</v>
      </c>
      <c r="AL8" s="84">
        <f t="shared" si="2"/>
        <v>0</v>
      </c>
      <c r="AM8" s="53" t="str">
        <f>IFERROR((AI8+AJ8)/AK8,"")</f>
        <v/>
      </c>
      <c r="AO8" s="73"/>
      <c r="AP8" s="74"/>
      <c r="AQ8" s="68" t="str">
        <f t="shared" ref="AQ8:AQ39" si="3">IF(ISERROR(AO8/AP8),"",AO8/AP8)</f>
        <v/>
      </c>
    </row>
    <row r="9" spans="1:43" s="49" customFormat="1" x14ac:dyDescent="0.2">
      <c r="A9" s="51" t="s">
        <v>109</v>
      </c>
      <c r="B9" s="226" t="s">
        <v>241</v>
      </c>
      <c r="C9" s="224" t="s">
        <v>79</v>
      </c>
      <c r="E9" s="79" t="s">
        <v>244</v>
      </c>
      <c r="F9" s="274" t="s">
        <v>258</v>
      </c>
      <c r="G9" s="79">
        <v>189.74165349917473</v>
      </c>
      <c r="H9" s="274">
        <v>1</v>
      </c>
      <c r="I9" s="73">
        <v>320000</v>
      </c>
      <c r="J9" s="71">
        <v>0.1</v>
      </c>
      <c r="K9" s="73">
        <v>288000</v>
      </c>
      <c r="L9" s="73">
        <v>652805.7324781724</v>
      </c>
      <c r="M9" s="73">
        <v>940805.7324781724</v>
      </c>
      <c r="N9" s="73">
        <v>1769101.5014325827</v>
      </c>
      <c r="O9" s="73">
        <v>828295.76895441033</v>
      </c>
      <c r="P9" s="74">
        <v>500000</v>
      </c>
      <c r="Q9" s="68">
        <v>1.6565915379088207</v>
      </c>
      <c r="R9" s="73">
        <v>545339.70275352488</v>
      </c>
      <c r="S9" s="74">
        <v>0</v>
      </c>
      <c r="U9" s="85"/>
      <c r="V9" s="73"/>
      <c r="W9" s="73"/>
      <c r="X9" s="73"/>
      <c r="Y9" s="70">
        <f t="shared" ref="Y9:Y39" si="4">P9</f>
        <v>500000</v>
      </c>
      <c r="Z9" s="84">
        <f t="shared" ref="Z9:Z39" si="5">SUM(U9:Y9)</f>
        <v>500000</v>
      </c>
      <c r="AB9" s="85"/>
      <c r="AC9" s="84">
        <f t="shared" ref="AC9:AC39" si="6">P9-AB9</f>
        <v>500000</v>
      </c>
      <c r="AD9" s="89"/>
      <c r="AE9" s="90">
        <f t="shared" ref="AE9:AE39" si="7">P9-AF9-AG9</f>
        <v>0</v>
      </c>
      <c r="AF9" s="73">
        <f>P9</f>
        <v>500000</v>
      </c>
      <c r="AG9" s="74">
        <f>P9-AF9</f>
        <v>0</v>
      </c>
      <c r="AH9" s="89"/>
      <c r="AI9" s="85">
        <f>R9</f>
        <v>545339.70275352488</v>
      </c>
      <c r="AJ9" s="73">
        <f>S9</f>
        <v>0</v>
      </c>
      <c r="AK9" s="92">
        <f t="shared" ref="AK9:AK10" si="8">P9</f>
        <v>500000</v>
      </c>
      <c r="AL9" s="84">
        <f>SUM(AI9:AK9)</f>
        <v>1045339.7027535249</v>
      </c>
      <c r="AM9" s="53">
        <f t="shared" ref="AM9:AM16" si="9">IFERROR((AI9+AJ9)/AK9,"")</f>
        <v>1.0906794055070497</v>
      </c>
      <c r="AO9" s="73"/>
      <c r="AP9" s="74"/>
      <c r="AQ9" s="68" t="str">
        <f t="shared" si="3"/>
        <v/>
      </c>
    </row>
    <row r="10" spans="1:43" s="49" customFormat="1" x14ac:dyDescent="0.2">
      <c r="A10" s="51" t="s">
        <v>110</v>
      </c>
      <c r="B10" s="226" t="s">
        <v>288</v>
      </c>
      <c r="C10" s="224" t="s">
        <v>285</v>
      </c>
      <c r="E10" s="79" t="s">
        <v>244</v>
      </c>
      <c r="F10" s="274" t="s">
        <v>257</v>
      </c>
      <c r="G10" s="79">
        <v>40</v>
      </c>
      <c r="H10" s="274">
        <v>40</v>
      </c>
      <c r="I10" s="73">
        <v>80000</v>
      </c>
      <c r="J10" s="71"/>
      <c r="K10" s="73">
        <v>72000</v>
      </c>
      <c r="L10" s="73">
        <v>660996</v>
      </c>
      <c r="M10" s="73">
        <v>732996</v>
      </c>
      <c r="N10" s="73">
        <v>1277538.9191772928</v>
      </c>
      <c r="O10" s="73">
        <v>544542.91917729273</v>
      </c>
      <c r="P10" s="74">
        <v>118020.56084845592</v>
      </c>
      <c r="Q10" s="68">
        <v>4.6139665433086021</v>
      </c>
      <c r="R10" s="73">
        <v>476087.43915154407</v>
      </c>
      <c r="S10" s="74">
        <v>220332</v>
      </c>
      <c r="U10" s="85"/>
      <c r="V10" s="73"/>
      <c r="W10" s="73"/>
      <c r="X10" s="73"/>
      <c r="Y10" s="70">
        <f t="shared" si="4"/>
        <v>118020.56084845592</v>
      </c>
      <c r="Z10" s="84">
        <f t="shared" si="5"/>
        <v>118020.56084845592</v>
      </c>
      <c r="AB10" s="85"/>
      <c r="AC10" s="84">
        <f t="shared" si="6"/>
        <v>118020.56084845592</v>
      </c>
      <c r="AD10" s="89"/>
      <c r="AE10" s="90">
        <f t="shared" si="7"/>
        <v>118020.56084845592</v>
      </c>
      <c r="AF10" s="73"/>
      <c r="AG10" s="74"/>
      <c r="AH10" s="89"/>
      <c r="AI10" s="85">
        <f t="shared" ref="AI10:AI39" si="10">R10</f>
        <v>476087.43915154407</v>
      </c>
      <c r="AJ10" s="73">
        <f t="shared" ref="AJ10:AJ39" si="11">S10</f>
        <v>220332</v>
      </c>
      <c r="AK10" s="92">
        <f t="shared" si="8"/>
        <v>118020.56084845592</v>
      </c>
      <c r="AL10" s="84">
        <f t="shared" ref="AL10:AL16" si="12">SUM(AI10:AK10)</f>
        <v>814440</v>
      </c>
      <c r="AM10" s="53">
        <f t="shared" si="9"/>
        <v>5.900831466525398</v>
      </c>
      <c r="AO10" s="73"/>
      <c r="AP10" s="74"/>
      <c r="AQ10" s="68" t="str">
        <f t="shared" si="3"/>
        <v/>
      </c>
    </row>
    <row r="11" spans="1:43" s="49" customFormat="1" x14ac:dyDescent="0.2">
      <c r="A11" s="51" t="s">
        <v>111</v>
      </c>
      <c r="B11" s="226"/>
      <c r="C11" s="224"/>
      <c r="E11" s="79"/>
      <c r="F11" s="274"/>
      <c r="G11" s="79"/>
      <c r="H11" s="274"/>
      <c r="I11" s="73"/>
      <c r="J11" s="71"/>
      <c r="K11" s="73"/>
      <c r="L11" s="73"/>
      <c r="M11" s="73"/>
      <c r="N11" s="73"/>
      <c r="O11" s="73"/>
      <c r="P11" s="74"/>
      <c r="Q11" s="68" t="str">
        <f t="shared" ref="Q11:Q17" si="13">IF(ISERROR(O11/P11),"",O11/P11)</f>
        <v/>
      </c>
      <c r="R11" s="73"/>
      <c r="S11" s="74"/>
      <c r="U11" s="85"/>
      <c r="V11" s="73"/>
      <c r="W11" s="73"/>
      <c r="X11" s="73"/>
      <c r="Y11" s="70">
        <f t="shared" si="4"/>
        <v>0</v>
      </c>
      <c r="Z11" s="84">
        <f t="shared" si="5"/>
        <v>0</v>
      </c>
      <c r="AB11" s="85"/>
      <c r="AC11" s="84">
        <f t="shared" si="6"/>
        <v>0</v>
      </c>
      <c r="AD11" s="89"/>
      <c r="AE11" s="90">
        <f t="shared" si="7"/>
        <v>0</v>
      </c>
      <c r="AF11" s="73"/>
      <c r="AG11" s="74"/>
      <c r="AH11" s="89"/>
      <c r="AI11" s="85">
        <f t="shared" si="10"/>
        <v>0</v>
      </c>
      <c r="AJ11" s="73">
        <f t="shared" si="11"/>
        <v>0</v>
      </c>
      <c r="AK11" s="92">
        <f t="shared" ref="AK11:AK16" si="14">P11</f>
        <v>0</v>
      </c>
      <c r="AL11" s="84">
        <f t="shared" si="12"/>
        <v>0</v>
      </c>
      <c r="AM11" s="53" t="str">
        <f t="shared" si="9"/>
        <v/>
      </c>
      <c r="AO11" s="73"/>
      <c r="AP11" s="74"/>
      <c r="AQ11" s="68" t="str">
        <f t="shared" si="3"/>
        <v/>
      </c>
    </row>
    <row r="12" spans="1:43" s="49" customFormat="1" x14ac:dyDescent="0.2">
      <c r="A12" s="51" t="s">
        <v>112</v>
      </c>
      <c r="B12" s="226"/>
      <c r="C12" s="224"/>
      <c r="E12" s="79"/>
      <c r="F12" s="274"/>
      <c r="G12" s="79"/>
      <c r="H12" s="274"/>
      <c r="I12" s="73"/>
      <c r="J12" s="71"/>
      <c r="K12" s="73"/>
      <c r="L12" s="73"/>
      <c r="M12" s="73"/>
      <c r="N12" s="73"/>
      <c r="O12" s="73"/>
      <c r="P12" s="74"/>
      <c r="Q12" s="68" t="str">
        <f t="shared" si="13"/>
        <v/>
      </c>
      <c r="R12" s="73"/>
      <c r="S12" s="74"/>
      <c r="U12" s="85"/>
      <c r="V12" s="73"/>
      <c r="W12" s="73"/>
      <c r="X12" s="73"/>
      <c r="Y12" s="70">
        <f t="shared" si="4"/>
        <v>0</v>
      </c>
      <c r="Z12" s="84">
        <f t="shared" si="5"/>
        <v>0</v>
      </c>
      <c r="AB12" s="85"/>
      <c r="AC12" s="84">
        <f t="shared" si="6"/>
        <v>0</v>
      </c>
      <c r="AD12" s="89"/>
      <c r="AE12" s="90">
        <f t="shared" si="7"/>
        <v>0</v>
      </c>
      <c r="AF12" s="73">
        <f>P12*0.5</f>
        <v>0</v>
      </c>
      <c r="AG12" s="74">
        <f>P12-AF12</f>
        <v>0</v>
      </c>
      <c r="AH12" s="89"/>
      <c r="AI12" s="85">
        <f t="shared" si="10"/>
        <v>0</v>
      </c>
      <c r="AJ12" s="73">
        <f t="shared" si="11"/>
        <v>0</v>
      </c>
      <c r="AK12" s="92">
        <f t="shared" si="14"/>
        <v>0</v>
      </c>
      <c r="AL12" s="84">
        <f t="shared" si="12"/>
        <v>0</v>
      </c>
      <c r="AM12" s="53" t="str">
        <f t="shared" si="9"/>
        <v/>
      </c>
      <c r="AO12" s="73"/>
      <c r="AP12" s="74"/>
      <c r="AQ12" s="68" t="str">
        <f t="shared" si="3"/>
        <v/>
      </c>
    </row>
    <row r="13" spans="1:43" s="49" customFormat="1" x14ac:dyDescent="0.2">
      <c r="A13" s="51" t="s">
        <v>113</v>
      </c>
      <c r="B13" s="226"/>
      <c r="C13" s="224"/>
      <c r="E13" s="79"/>
      <c r="F13" s="274"/>
      <c r="G13" s="79"/>
      <c r="H13" s="274"/>
      <c r="I13" s="73"/>
      <c r="J13" s="71"/>
      <c r="K13" s="73"/>
      <c r="L13" s="73"/>
      <c r="M13" s="73"/>
      <c r="N13" s="73"/>
      <c r="O13" s="73"/>
      <c r="P13" s="74"/>
      <c r="Q13" s="68" t="str">
        <f t="shared" si="13"/>
        <v/>
      </c>
      <c r="R13" s="73"/>
      <c r="S13" s="74"/>
      <c r="U13" s="85"/>
      <c r="V13" s="73"/>
      <c r="W13" s="73"/>
      <c r="X13" s="73"/>
      <c r="Y13" s="70">
        <f t="shared" si="4"/>
        <v>0</v>
      </c>
      <c r="Z13" s="84">
        <f t="shared" ref="Z13:Z14" si="15">SUM(U13:Y13)</f>
        <v>0</v>
      </c>
      <c r="AB13" s="85"/>
      <c r="AC13" s="84">
        <f t="shared" ref="AC13:AC14" si="16">P13-AB13</f>
        <v>0</v>
      </c>
      <c r="AD13" s="89"/>
      <c r="AE13" s="90">
        <f t="shared" ref="AE13:AE14" si="17">P13-AF13-AG13</f>
        <v>0</v>
      </c>
      <c r="AF13" s="73"/>
      <c r="AG13" s="74"/>
      <c r="AH13" s="89"/>
      <c r="AI13" s="242">
        <f t="shared" ref="AI13:AI14" si="18">R13</f>
        <v>0</v>
      </c>
      <c r="AJ13" s="73">
        <f t="shared" ref="AJ13:AJ14" si="19">S13</f>
        <v>0</v>
      </c>
      <c r="AK13" s="92">
        <f t="shared" si="14"/>
        <v>0</v>
      </c>
      <c r="AL13" s="84">
        <f t="shared" ref="AL13:AL14" si="20">SUM(AI13:AK13)</f>
        <v>0</v>
      </c>
      <c r="AM13" s="53" t="str">
        <f t="shared" si="9"/>
        <v/>
      </c>
      <c r="AO13" s="73"/>
      <c r="AP13" s="74"/>
      <c r="AQ13" s="68" t="str">
        <f t="shared" si="3"/>
        <v/>
      </c>
    </row>
    <row r="14" spans="1:43" s="49" customFormat="1" x14ac:dyDescent="0.2">
      <c r="A14" s="51" t="s">
        <v>114</v>
      </c>
      <c r="B14" s="226"/>
      <c r="C14" s="224"/>
      <c r="E14" s="79"/>
      <c r="F14" s="274"/>
      <c r="G14" s="79"/>
      <c r="H14" s="274"/>
      <c r="I14" s="73"/>
      <c r="J14" s="71"/>
      <c r="K14" s="73"/>
      <c r="L14" s="73"/>
      <c r="M14" s="73"/>
      <c r="N14" s="73"/>
      <c r="O14" s="73"/>
      <c r="P14" s="74"/>
      <c r="Q14" s="68" t="str">
        <f t="shared" si="13"/>
        <v/>
      </c>
      <c r="R14" s="73"/>
      <c r="S14" s="74"/>
      <c r="U14" s="85"/>
      <c r="V14" s="73"/>
      <c r="W14" s="73"/>
      <c r="X14" s="73"/>
      <c r="Y14" s="70">
        <f t="shared" si="4"/>
        <v>0</v>
      </c>
      <c r="Z14" s="84">
        <f t="shared" si="15"/>
        <v>0</v>
      </c>
      <c r="AB14" s="85"/>
      <c r="AC14" s="84">
        <f t="shared" si="16"/>
        <v>0</v>
      </c>
      <c r="AD14" s="89"/>
      <c r="AE14" s="90">
        <f t="shared" si="17"/>
        <v>0</v>
      </c>
      <c r="AF14" s="73"/>
      <c r="AG14" s="74"/>
      <c r="AH14" s="89"/>
      <c r="AI14" s="242">
        <f t="shared" si="18"/>
        <v>0</v>
      </c>
      <c r="AJ14" s="73">
        <f t="shared" si="19"/>
        <v>0</v>
      </c>
      <c r="AK14" s="92">
        <f t="shared" si="14"/>
        <v>0</v>
      </c>
      <c r="AL14" s="84">
        <f t="shared" si="20"/>
        <v>0</v>
      </c>
      <c r="AM14" s="53" t="str">
        <f t="shared" si="9"/>
        <v/>
      </c>
      <c r="AO14" s="73"/>
      <c r="AP14" s="74"/>
      <c r="AQ14" s="68" t="str">
        <f t="shared" si="3"/>
        <v/>
      </c>
    </row>
    <row r="15" spans="1:43" s="49" customFormat="1" x14ac:dyDescent="0.2">
      <c r="A15" s="51" t="s">
        <v>115</v>
      </c>
      <c r="B15" s="226"/>
      <c r="C15" s="224"/>
      <c r="E15" s="78"/>
      <c r="F15" s="273"/>
      <c r="G15" s="78"/>
      <c r="H15" s="273"/>
      <c r="I15" s="70"/>
      <c r="J15" s="71"/>
      <c r="K15" s="70"/>
      <c r="L15" s="70"/>
      <c r="M15" s="70"/>
      <c r="N15" s="70"/>
      <c r="O15" s="70"/>
      <c r="P15" s="72"/>
      <c r="Q15" s="68" t="str">
        <f t="shared" si="13"/>
        <v/>
      </c>
      <c r="R15" s="70"/>
      <c r="S15" s="72"/>
      <c r="U15" s="85"/>
      <c r="V15" s="73"/>
      <c r="W15" s="73"/>
      <c r="X15" s="73"/>
      <c r="Y15" s="70">
        <f t="shared" si="4"/>
        <v>0</v>
      </c>
      <c r="Z15" s="84">
        <f t="shared" si="5"/>
        <v>0</v>
      </c>
      <c r="AB15" s="85"/>
      <c r="AC15" s="84">
        <f t="shared" si="6"/>
        <v>0</v>
      </c>
      <c r="AD15" s="89"/>
      <c r="AE15" s="90">
        <f t="shared" si="7"/>
        <v>0</v>
      </c>
      <c r="AF15" s="73"/>
      <c r="AG15" s="74"/>
      <c r="AH15" s="89"/>
      <c r="AI15" s="85">
        <f t="shared" si="10"/>
        <v>0</v>
      </c>
      <c r="AJ15" s="73">
        <f t="shared" si="11"/>
        <v>0</v>
      </c>
      <c r="AK15" s="92">
        <f t="shared" si="14"/>
        <v>0</v>
      </c>
      <c r="AL15" s="84">
        <f t="shared" si="12"/>
        <v>0</v>
      </c>
      <c r="AM15" s="53" t="str">
        <f t="shared" si="9"/>
        <v/>
      </c>
      <c r="AO15" s="73"/>
      <c r="AP15" s="74"/>
      <c r="AQ15" s="68" t="str">
        <f t="shared" si="3"/>
        <v/>
      </c>
    </row>
    <row r="16" spans="1:43" s="49" customFormat="1" x14ac:dyDescent="0.2">
      <c r="A16" s="51" t="s">
        <v>116</v>
      </c>
      <c r="B16" s="226"/>
      <c r="C16" s="224"/>
      <c r="E16" s="79"/>
      <c r="F16" s="274"/>
      <c r="G16" s="79"/>
      <c r="H16" s="274"/>
      <c r="I16" s="73"/>
      <c r="J16" s="71"/>
      <c r="K16" s="73"/>
      <c r="L16" s="73"/>
      <c r="M16" s="73"/>
      <c r="N16" s="73"/>
      <c r="O16" s="73"/>
      <c r="P16" s="74"/>
      <c r="Q16" s="68" t="str">
        <f t="shared" si="13"/>
        <v/>
      </c>
      <c r="R16" s="73"/>
      <c r="S16" s="74"/>
      <c r="U16" s="85"/>
      <c r="V16" s="73"/>
      <c r="W16" s="73"/>
      <c r="X16" s="73"/>
      <c r="Y16" s="70">
        <f t="shared" si="4"/>
        <v>0</v>
      </c>
      <c r="Z16" s="84">
        <f t="shared" si="5"/>
        <v>0</v>
      </c>
      <c r="AB16" s="85"/>
      <c r="AC16" s="84">
        <f t="shared" si="6"/>
        <v>0</v>
      </c>
      <c r="AD16" s="89"/>
      <c r="AE16" s="90">
        <f t="shared" si="7"/>
        <v>0</v>
      </c>
      <c r="AF16" s="73"/>
      <c r="AG16" s="74"/>
      <c r="AH16" s="89"/>
      <c r="AI16" s="85">
        <f t="shared" si="10"/>
        <v>0</v>
      </c>
      <c r="AJ16" s="73">
        <f t="shared" si="11"/>
        <v>0</v>
      </c>
      <c r="AK16" s="92">
        <f t="shared" si="14"/>
        <v>0</v>
      </c>
      <c r="AL16" s="84">
        <f t="shared" si="12"/>
        <v>0</v>
      </c>
      <c r="AM16" s="53" t="str">
        <f t="shared" si="9"/>
        <v/>
      </c>
      <c r="AO16" s="73"/>
      <c r="AP16" s="74"/>
      <c r="AQ16" s="68" t="str">
        <f t="shared" si="3"/>
        <v/>
      </c>
    </row>
    <row r="17" spans="1:43" s="49" customFormat="1" x14ac:dyDescent="0.2">
      <c r="A17" s="51" t="s">
        <v>117</v>
      </c>
      <c r="B17" s="241" t="s">
        <v>256</v>
      </c>
      <c r="C17" s="224"/>
      <c r="E17" s="79"/>
      <c r="F17" s="274"/>
      <c r="G17" s="79"/>
      <c r="H17" s="274"/>
      <c r="I17" s="73"/>
      <c r="J17" s="71"/>
      <c r="K17" s="73"/>
      <c r="L17" s="73"/>
      <c r="M17" s="73"/>
      <c r="N17" s="73"/>
      <c r="O17" s="73"/>
      <c r="P17" s="74"/>
      <c r="Q17" s="68" t="str">
        <f t="shared" si="13"/>
        <v/>
      </c>
      <c r="R17" s="73"/>
      <c r="S17" s="74"/>
      <c r="U17" s="85"/>
      <c r="V17" s="73"/>
      <c r="W17" s="73"/>
      <c r="X17" s="73"/>
      <c r="Y17" s="70">
        <f t="shared" si="4"/>
        <v>0</v>
      </c>
      <c r="Z17" s="84">
        <f t="shared" ref="Z17:Z19" si="21">SUM(U17:Y17)</f>
        <v>0</v>
      </c>
      <c r="AB17" s="85"/>
      <c r="AC17" s="84">
        <f t="shared" ref="AC17:AC19" si="22">P17-AB17</f>
        <v>0</v>
      </c>
      <c r="AD17" s="89"/>
      <c r="AE17" s="90">
        <f t="shared" ref="AE17:AE19" si="23">P17-AF17-AG17</f>
        <v>0</v>
      </c>
      <c r="AF17" s="73"/>
      <c r="AG17" s="74"/>
      <c r="AH17" s="89"/>
      <c r="AI17" s="85">
        <f t="shared" ref="AI17:AI19" si="24">R17</f>
        <v>0</v>
      </c>
      <c r="AJ17" s="73">
        <f t="shared" ref="AJ17:AJ19" si="25">S17</f>
        <v>0</v>
      </c>
      <c r="AK17" s="92">
        <f t="shared" ref="AK17:AK18" si="26">P17</f>
        <v>0</v>
      </c>
      <c r="AL17" s="84">
        <f t="shared" ref="AL17:AL18" si="27">SUM(AI17:AK17)</f>
        <v>0</v>
      </c>
      <c r="AM17" s="53" t="str">
        <f t="shared" ref="AM17:AM18" si="28">IFERROR((AI17+AJ17)/AK17,"")</f>
        <v/>
      </c>
      <c r="AO17" s="73"/>
      <c r="AP17" s="74"/>
      <c r="AQ17" s="68"/>
    </row>
    <row r="18" spans="1:43" s="49" customFormat="1" x14ac:dyDescent="0.2">
      <c r="A18" s="51" t="s">
        <v>118</v>
      </c>
      <c r="B18" s="226" t="s">
        <v>286</v>
      </c>
      <c r="C18" s="224" t="s">
        <v>287</v>
      </c>
      <c r="E18" s="79" t="s">
        <v>251</v>
      </c>
      <c r="F18" s="274" t="s">
        <v>257</v>
      </c>
      <c r="G18" s="79">
        <v>210</v>
      </c>
      <c r="H18" s="274">
        <v>210</v>
      </c>
      <c r="I18" s="73">
        <v>246000</v>
      </c>
      <c r="J18" s="71"/>
      <c r="K18" s="73">
        <v>221400</v>
      </c>
      <c r="L18" s="73">
        <v>529200</v>
      </c>
      <c r="M18" s="73">
        <v>750600</v>
      </c>
      <c r="N18" s="73">
        <v>1609157.1699338383</v>
      </c>
      <c r="O18" s="73">
        <v>858557.16993383842</v>
      </c>
      <c r="P18" s="74">
        <v>399000</v>
      </c>
      <c r="Q18" s="68">
        <v>2.1517723557239057</v>
      </c>
      <c r="R18" s="73">
        <v>1128000</v>
      </c>
      <c r="S18" s="74">
        <v>210000</v>
      </c>
      <c r="U18" s="85"/>
      <c r="V18" s="73"/>
      <c r="W18" s="73"/>
      <c r="X18" s="73"/>
      <c r="Y18" s="70">
        <f t="shared" si="4"/>
        <v>399000</v>
      </c>
      <c r="Z18" s="84">
        <f t="shared" si="21"/>
        <v>399000</v>
      </c>
      <c r="AB18" s="85">
        <f>P18*0.5</f>
        <v>199500</v>
      </c>
      <c r="AC18" s="84">
        <f t="shared" si="22"/>
        <v>199500</v>
      </c>
      <c r="AD18" s="89"/>
      <c r="AE18" s="90">
        <f t="shared" si="23"/>
        <v>399000</v>
      </c>
      <c r="AF18" s="73"/>
      <c r="AG18" s="74"/>
      <c r="AH18" s="89"/>
      <c r="AI18" s="85">
        <f t="shared" si="24"/>
        <v>1128000</v>
      </c>
      <c r="AJ18" s="73">
        <f t="shared" si="25"/>
        <v>210000</v>
      </c>
      <c r="AK18" s="279">
        <f t="shared" si="26"/>
        <v>399000</v>
      </c>
      <c r="AL18" s="84">
        <f t="shared" si="27"/>
        <v>1737000</v>
      </c>
      <c r="AM18" s="53">
        <f t="shared" si="28"/>
        <v>3.3533834586466167</v>
      </c>
      <c r="AO18" s="73"/>
      <c r="AP18" s="74"/>
      <c r="AQ18" s="68" t="str">
        <f t="shared" si="3"/>
        <v/>
      </c>
    </row>
    <row r="19" spans="1:43" s="49" customFormat="1" x14ac:dyDescent="0.2">
      <c r="A19" s="51" t="s">
        <v>119</v>
      </c>
      <c r="B19" s="226"/>
      <c r="C19" s="224"/>
      <c r="E19" s="79"/>
      <c r="F19" s="274"/>
      <c r="G19" s="79"/>
      <c r="H19" s="274"/>
      <c r="I19" s="73"/>
      <c r="J19" s="71"/>
      <c r="K19" s="73"/>
      <c r="L19" s="73"/>
      <c r="M19" s="73"/>
      <c r="N19" s="73"/>
      <c r="O19" s="73"/>
      <c r="P19" s="74"/>
      <c r="Q19" s="68" t="str">
        <f t="shared" ref="Q19:Q39" si="29">IF(ISERROR(O19/P19),"",O19/P19)</f>
        <v/>
      </c>
      <c r="R19" s="73"/>
      <c r="S19" s="74"/>
      <c r="U19" s="85"/>
      <c r="V19" s="73"/>
      <c r="W19" s="73"/>
      <c r="X19" s="73"/>
      <c r="Y19" s="70">
        <f t="shared" si="4"/>
        <v>0</v>
      </c>
      <c r="Z19" s="84">
        <f t="shared" si="21"/>
        <v>0</v>
      </c>
      <c r="AB19" s="85">
        <f>P19*1</f>
        <v>0</v>
      </c>
      <c r="AC19" s="84">
        <f t="shared" si="22"/>
        <v>0</v>
      </c>
      <c r="AD19" s="89"/>
      <c r="AE19" s="90">
        <f t="shared" si="23"/>
        <v>0</v>
      </c>
      <c r="AF19" s="73">
        <f>P19</f>
        <v>0</v>
      </c>
      <c r="AG19" s="74"/>
      <c r="AH19" s="89"/>
      <c r="AI19" s="85">
        <f t="shared" si="24"/>
        <v>0</v>
      </c>
      <c r="AJ19" s="73">
        <f t="shared" si="25"/>
        <v>0</v>
      </c>
      <c r="AK19" s="92">
        <f t="shared" ref="AK19:AK39" si="30">P19</f>
        <v>0</v>
      </c>
      <c r="AL19" s="84">
        <f t="shared" ref="AL19:AL39" si="31">SUM(AI19:AK19)</f>
        <v>0</v>
      </c>
      <c r="AM19" s="53" t="str">
        <f t="shared" ref="AM19:AM39" si="32">IFERROR((AI19+AJ19)/AK19,"")</f>
        <v/>
      </c>
      <c r="AO19" s="73"/>
      <c r="AP19" s="74"/>
      <c r="AQ19" s="68" t="str">
        <f t="shared" si="3"/>
        <v/>
      </c>
    </row>
    <row r="20" spans="1:43" s="49" customFormat="1" x14ac:dyDescent="0.2">
      <c r="A20" s="51" t="s">
        <v>120</v>
      </c>
      <c r="B20" s="226"/>
      <c r="C20" s="224"/>
      <c r="E20" s="79"/>
      <c r="F20" s="274"/>
      <c r="G20" s="79"/>
      <c r="H20" s="274"/>
      <c r="I20" s="73"/>
      <c r="J20" s="71"/>
      <c r="K20" s="73"/>
      <c r="L20" s="73"/>
      <c r="M20" s="73"/>
      <c r="N20" s="73"/>
      <c r="O20" s="73"/>
      <c r="P20" s="74"/>
      <c r="Q20" s="68" t="str">
        <f t="shared" si="29"/>
        <v/>
      </c>
      <c r="R20" s="73"/>
      <c r="S20" s="74"/>
      <c r="U20" s="85"/>
      <c r="V20" s="73"/>
      <c r="W20" s="73"/>
      <c r="X20" s="73"/>
      <c r="Y20" s="70">
        <f t="shared" si="4"/>
        <v>0</v>
      </c>
      <c r="Z20" s="84">
        <f t="shared" si="5"/>
        <v>0</v>
      </c>
      <c r="AB20" s="85"/>
      <c r="AC20" s="84">
        <f t="shared" si="6"/>
        <v>0</v>
      </c>
      <c r="AD20" s="89"/>
      <c r="AE20" s="90">
        <f t="shared" si="7"/>
        <v>0</v>
      </c>
      <c r="AF20" s="73"/>
      <c r="AG20" s="74"/>
      <c r="AH20" s="89"/>
      <c r="AI20" s="85">
        <f t="shared" si="10"/>
        <v>0</v>
      </c>
      <c r="AJ20" s="73">
        <f t="shared" si="11"/>
        <v>0</v>
      </c>
      <c r="AK20" s="92">
        <f t="shared" si="30"/>
        <v>0</v>
      </c>
      <c r="AL20" s="84">
        <f t="shared" si="31"/>
        <v>0</v>
      </c>
      <c r="AM20" s="53" t="str">
        <f t="shared" si="32"/>
        <v/>
      </c>
      <c r="AO20" s="73"/>
      <c r="AP20" s="74"/>
      <c r="AQ20" s="68" t="str">
        <f t="shared" si="3"/>
        <v/>
      </c>
    </row>
    <row r="21" spans="1:43" s="49" customFormat="1" x14ac:dyDescent="0.2">
      <c r="A21" s="51" t="s">
        <v>121</v>
      </c>
      <c r="B21" s="241" t="s">
        <v>267</v>
      </c>
      <c r="C21" s="224"/>
      <c r="E21" s="79"/>
      <c r="F21" s="274"/>
      <c r="G21" s="79"/>
      <c r="H21" s="274"/>
      <c r="I21" s="73"/>
      <c r="J21" s="71"/>
      <c r="K21" s="73"/>
      <c r="L21" s="73"/>
      <c r="M21" s="73"/>
      <c r="N21" s="73"/>
      <c r="O21" s="73"/>
      <c r="P21" s="74"/>
      <c r="Q21" s="68" t="str">
        <f t="shared" si="29"/>
        <v/>
      </c>
      <c r="R21" s="73"/>
      <c r="S21" s="74"/>
      <c r="U21" s="85"/>
      <c r="V21" s="73"/>
      <c r="W21" s="73"/>
      <c r="X21" s="73"/>
      <c r="Y21" s="70">
        <f t="shared" si="4"/>
        <v>0</v>
      </c>
      <c r="Z21" s="84">
        <f t="shared" si="5"/>
        <v>0</v>
      </c>
      <c r="AB21" s="85"/>
      <c r="AC21" s="84">
        <f t="shared" si="6"/>
        <v>0</v>
      </c>
      <c r="AD21" s="89"/>
      <c r="AE21" s="90">
        <f t="shared" si="7"/>
        <v>0</v>
      </c>
      <c r="AF21" s="73"/>
      <c r="AG21" s="74"/>
      <c r="AH21" s="89"/>
      <c r="AI21" s="85">
        <f t="shared" si="10"/>
        <v>0</v>
      </c>
      <c r="AJ21" s="73">
        <f t="shared" si="11"/>
        <v>0</v>
      </c>
      <c r="AK21" s="92">
        <f t="shared" si="30"/>
        <v>0</v>
      </c>
      <c r="AL21" s="84">
        <f t="shared" si="31"/>
        <v>0</v>
      </c>
      <c r="AM21" s="53" t="str">
        <f t="shared" si="32"/>
        <v/>
      </c>
      <c r="AO21" s="73"/>
      <c r="AP21" s="74"/>
      <c r="AQ21" s="68" t="str">
        <f t="shared" si="3"/>
        <v/>
      </c>
    </row>
    <row r="22" spans="1:43" s="49" customFormat="1" x14ac:dyDescent="0.2">
      <c r="A22" s="51" t="s">
        <v>122</v>
      </c>
      <c r="B22" s="281" t="s">
        <v>259</v>
      </c>
      <c r="C22" s="224" t="s">
        <v>250</v>
      </c>
      <c r="E22" s="79" t="s">
        <v>260</v>
      </c>
      <c r="F22" s="274" t="s">
        <v>245</v>
      </c>
      <c r="G22" s="79">
        <v>33</v>
      </c>
      <c r="H22" s="274">
        <v>33</v>
      </c>
      <c r="I22" s="73">
        <v>202660</v>
      </c>
      <c r="J22" s="71"/>
      <c r="K22" s="73">
        <v>182394</v>
      </c>
      <c r="L22" s="73">
        <v>273330</v>
      </c>
      <c r="M22" s="73">
        <v>455724</v>
      </c>
      <c r="N22" s="73">
        <v>1941469.354982157</v>
      </c>
      <c r="O22" s="73">
        <v>1485745.354982157</v>
      </c>
      <c r="P22" s="74">
        <v>420160</v>
      </c>
      <c r="Q22" s="68">
        <v>3.5361418387808383</v>
      </c>
      <c r="R22" s="73">
        <v>86200</v>
      </c>
      <c r="S22" s="74">
        <v>0</v>
      </c>
      <c r="U22" s="85"/>
      <c r="V22" s="73"/>
      <c r="W22" s="73"/>
      <c r="X22" s="73"/>
      <c r="Y22" s="70">
        <f t="shared" si="4"/>
        <v>420160</v>
      </c>
      <c r="Z22" s="84">
        <f t="shared" ref="Z22" si="33">SUM(U22:Y22)</f>
        <v>420160</v>
      </c>
      <c r="AB22" s="85">
        <f>P22</f>
        <v>420160</v>
      </c>
      <c r="AC22" s="84">
        <f t="shared" ref="AC22" si="34">P22-AB22</f>
        <v>0</v>
      </c>
      <c r="AD22" s="89"/>
      <c r="AE22" s="90">
        <f t="shared" ref="AE22" si="35">P22-AF22-AG22</f>
        <v>0</v>
      </c>
      <c r="AF22" s="73">
        <f>P22</f>
        <v>420160</v>
      </c>
      <c r="AG22" s="74"/>
      <c r="AH22" s="89"/>
      <c r="AI22" s="85">
        <f t="shared" ref="AI22" si="36">R22</f>
        <v>86200</v>
      </c>
      <c r="AJ22" s="73">
        <f t="shared" ref="AJ22" si="37">S22</f>
        <v>0</v>
      </c>
      <c r="AK22" s="92">
        <f t="shared" si="30"/>
        <v>420160</v>
      </c>
      <c r="AL22" s="84">
        <f t="shared" ref="AL22" si="38">SUM(AI22:AK22)</f>
        <v>506360</v>
      </c>
      <c r="AM22" s="53">
        <f t="shared" si="32"/>
        <v>0.20515993907083016</v>
      </c>
      <c r="AO22" s="73"/>
      <c r="AP22" s="74"/>
      <c r="AQ22" s="68" t="str">
        <f t="shared" si="3"/>
        <v/>
      </c>
    </row>
    <row r="23" spans="1:43" s="49" customFormat="1" x14ac:dyDescent="0.2">
      <c r="A23" s="51" t="s">
        <v>123</v>
      </c>
      <c r="B23" s="226"/>
      <c r="C23" s="228"/>
      <c r="E23" s="79"/>
      <c r="F23" s="274"/>
      <c r="G23" s="79"/>
      <c r="H23" s="274"/>
      <c r="I23" s="73"/>
      <c r="J23" s="71"/>
      <c r="K23" s="73"/>
      <c r="L23" s="73"/>
      <c r="M23" s="73"/>
      <c r="N23" s="73"/>
      <c r="O23" s="73"/>
      <c r="P23" s="74"/>
      <c r="Q23" s="68" t="str">
        <f t="shared" si="29"/>
        <v/>
      </c>
      <c r="R23" s="73"/>
      <c r="S23" s="74"/>
      <c r="U23" s="85"/>
      <c r="V23" s="73"/>
      <c r="W23" s="73"/>
      <c r="X23" s="73"/>
      <c r="Y23" s="70">
        <f t="shared" si="4"/>
        <v>0</v>
      </c>
      <c r="Z23" s="84">
        <f t="shared" si="5"/>
        <v>0</v>
      </c>
      <c r="AB23" s="85"/>
      <c r="AC23" s="84">
        <f t="shared" si="6"/>
        <v>0</v>
      </c>
      <c r="AD23" s="89"/>
      <c r="AE23" s="90">
        <f t="shared" si="7"/>
        <v>0</v>
      </c>
      <c r="AF23" s="73"/>
      <c r="AG23" s="74"/>
      <c r="AH23" s="89"/>
      <c r="AI23" s="85">
        <f t="shared" si="10"/>
        <v>0</v>
      </c>
      <c r="AJ23" s="73">
        <f t="shared" si="11"/>
        <v>0</v>
      </c>
      <c r="AK23" s="92">
        <f t="shared" si="30"/>
        <v>0</v>
      </c>
      <c r="AL23" s="84">
        <f t="shared" si="31"/>
        <v>0</v>
      </c>
      <c r="AM23" s="53" t="str">
        <f t="shared" si="32"/>
        <v/>
      </c>
      <c r="AO23" s="73"/>
      <c r="AP23" s="74"/>
      <c r="AQ23" s="68" t="str">
        <f t="shared" si="3"/>
        <v/>
      </c>
    </row>
    <row r="24" spans="1:43" s="49" customFormat="1" x14ac:dyDescent="0.2">
      <c r="A24" s="51" t="s">
        <v>124</v>
      </c>
      <c r="B24" s="226"/>
      <c r="C24" s="224"/>
      <c r="E24" s="79"/>
      <c r="F24" s="274"/>
      <c r="G24" s="79"/>
      <c r="H24" s="274"/>
      <c r="I24" s="73"/>
      <c r="J24" s="71"/>
      <c r="K24" s="73"/>
      <c r="L24" s="73"/>
      <c r="M24" s="73"/>
      <c r="N24" s="73"/>
      <c r="O24" s="73"/>
      <c r="P24" s="74"/>
      <c r="Q24" s="68" t="str">
        <f t="shared" si="29"/>
        <v/>
      </c>
      <c r="R24" s="73"/>
      <c r="S24" s="74"/>
      <c r="U24" s="85"/>
      <c r="V24" s="73"/>
      <c r="W24" s="73"/>
      <c r="X24" s="73"/>
      <c r="Y24" s="70">
        <f t="shared" si="4"/>
        <v>0</v>
      </c>
      <c r="Z24" s="84">
        <f t="shared" si="5"/>
        <v>0</v>
      </c>
      <c r="AB24" s="85"/>
      <c r="AC24" s="84">
        <f t="shared" si="6"/>
        <v>0</v>
      </c>
      <c r="AD24" s="89"/>
      <c r="AE24" s="90">
        <f t="shared" si="7"/>
        <v>0</v>
      </c>
      <c r="AF24" s="73"/>
      <c r="AG24" s="74"/>
      <c r="AH24" s="89"/>
      <c r="AI24" s="85">
        <f t="shared" si="10"/>
        <v>0</v>
      </c>
      <c r="AJ24" s="73">
        <f t="shared" si="11"/>
        <v>0</v>
      </c>
      <c r="AK24" s="92">
        <f t="shared" si="30"/>
        <v>0</v>
      </c>
      <c r="AL24" s="84">
        <f t="shared" si="31"/>
        <v>0</v>
      </c>
      <c r="AM24" s="53" t="str">
        <f t="shared" si="32"/>
        <v/>
      </c>
      <c r="AO24" s="73"/>
      <c r="AP24" s="74"/>
      <c r="AQ24" s="68" t="str">
        <f t="shared" si="3"/>
        <v/>
      </c>
    </row>
    <row r="25" spans="1:43" s="49" customFormat="1" x14ac:dyDescent="0.2">
      <c r="A25" s="51" t="s">
        <v>125</v>
      </c>
      <c r="B25" s="226"/>
      <c r="C25" s="224"/>
      <c r="E25" s="79"/>
      <c r="F25" s="274"/>
      <c r="G25" s="79"/>
      <c r="H25" s="274"/>
      <c r="I25" s="73"/>
      <c r="J25" s="71"/>
      <c r="K25" s="73"/>
      <c r="L25" s="73"/>
      <c r="M25" s="73"/>
      <c r="N25" s="73"/>
      <c r="O25" s="73"/>
      <c r="P25" s="74"/>
      <c r="Q25" s="68" t="str">
        <f t="shared" si="29"/>
        <v/>
      </c>
      <c r="R25" s="73"/>
      <c r="S25" s="74"/>
      <c r="U25" s="85"/>
      <c r="V25" s="73"/>
      <c r="W25" s="73"/>
      <c r="X25" s="73"/>
      <c r="Y25" s="70">
        <f t="shared" si="4"/>
        <v>0</v>
      </c>
      <c r="Z25" s="84">
        <f t="shared" si="5"/>
        <v>0</v>
      </c>
      <c r="AB25" s="85"/>
      <c r="AC25" s="84">
        <f t="shared" si="6"/>
        <v>0</v>
      </c>
      <c r="AD25" s="89"/>
      <c r="AE25" s="90">
        <f t="shared" si="7"/>
        <v>0</v>
      </c>
      <c r="AF25" s="73"/>
      <c r="AG25" s="74"/>
      <c r="AH25" s="89"/>
      <c r="AI25" s="242">
        <f t="shared" si="10"/>
        <v>0</v>
      </c>
      <c r="AJ25" s="73">
        <f t="shared" si="11"/>
        <v>0</v>
      </c>
      <c r="AK25" s="92">
        <f t="shared" si="30"/>
        <v>0</v>
      </c>
      <c r="AL25" s="84">
        <f t="shared" si="31"/>
        <v>0</v>
      </c>
      <c r="AM25" s="53" t="str">
        <f t="shared" si="32"/>
        <v/>
      </c>
      <c r="AO25" s="73"/>
      <c r="AP25" s="74"/>
      <c r="AQ25" s="68" t="str">
        <f t="shared" si="3"/>
        <v/>
      </c>
    </row>
    <row r="26" spans="1:43" s="49" customFormat="1" x14ac:dyDescent="0.2">
      <c r="A26" s="51" t="s">
        <v>126</v>
      </c>
      <c r="B26" s="226"/>
      <c r="C26" s="224"/>
      <c r="E26" s="79"/>
      <c r="F26" s="274"/>
      <c r="G26" s="79"/>
      <c r="H26" s="274"/>
      <c r="I26" s="73"/>
      <c r="J26" s="71"/>
      <c r="K26" s="73"/>
      <c r="L26" s="73"/>
      <c r="M26" s="73"/>
      <c r="N26" s="73"/>
      <c r="O26" s="73"/>
      <c r="P26" s="74"/>
      <c r="Q26" s="68" t="str">
        <f t="shared" si="29"/>
        <v/>
      </c>
      <c r="R26" s="73"/>
      <c r="S26" s="74"/>
      <c r="U26" s="85"/>
      <c r="V26" s="73"/>
      <c r="W26" s="73"/>
      <c r="X26" s="73"/>
      <c r="Y26" s="70">
        <f t="shared" si="4"/>
        <v>0</v>
      </c>
      <c r="Z26" s="84">
        <f t="shared" si="5"/>
        <v>0</v>
      </c>
      <c r="AB26" s="85"/>
      <c r="AC26" s="84">
        <f t="shared" si="6"/>
        <v>0</v>
      </c>
      <c r="AD26" s="89"/>
      <c r="AE26" s="90">
        <f t="shared" si="7"/>
        <v>0</v>
      </c>
      <c r="AF26" s="73"/>
      <c r="AG26" s="74"/>
      <c r="AH26" s="89"/>
      <c r="AI26" s="85">
        <f t="shared" si="10"/>
        <v>0</v>
      </c>
      <c r="AJ26" s="73">
        <f t="shared" si="11"/>
        <v>0</v>
      </c>
      <c r="AK26" s="92">
        <f t="shared" si="30"/>
        <v>0</v>
      </c>
      <c r="AL26" s="84">
        <f t="shared" si="31"/>
        <v>0</v>
      </c>
      <c r="AM26" s="53" t="str">
        <f t="shared" si="32"/>
        <v/>
      </c>
      <c r="AO26" s="73"/>
      <c r="AP26" s="74"/>
      <c r="AQ26" s="68" t="str">
        <f t="shared" si="3"/>
        <v/>
      </c>
    </row>
    <row r="27" spans="1:43" s="49" customFormat="1" x14ac:dyDescent="0.2">
      <c r="A27" s="51" t="s">
        <v>127</v>
      </c>
      <c r="B27" s="226"/>
      <c r="C27" s="224"/>
      <c r="E27" s="79"/>
      <c r="F27" s="274"/>
      <c r="G27" s="79"/>
      <c r="H27" s="274"/>
      <c r="I27" s="73"/>
      <c r="J27" s="71"/>
      <c r="K27" s="73"/>
      <c r="L27" s="73"/>
      <c r="M27" s="73"/>
      <c r="N27" s="73"/>
      <c r="O27" s="73"/>
      <c r="P27" s="74"/>
      <c r="Q27" s="68" t="str">
        <f t="shared" si="29"/>
        <v/>
      </c>
      <c r="R27" s="73"/>
      <c r="S27" s="74"/>
      <c r="U27" s="85"/>
      <c r="V27" s="73"/>
      <c r="W27" s="73"/>
      <c r="X27" s="73"/>
      <c r="Y27" s="70">
        <f t="shared" si="4"/>
        <v>0</v>
      </c>
      <c r="Z27" s="84">
        <f t="shared" si="5"/>
        <v>0</v>
      </c>
      <c r="AB27" s="85"/>
      <c r="AC27" s="84">
        <f t="shared" si="6"/>
        <v>0</v>
      </c>
      <c r="AD27" s="89"/>
      <c r="AE27" s="90">
        <f t="shared" si="7"/>
        <v>0</v>
      </c>
      <c r="AF27" s="73"/>
      <c r="AG27" s="74"/>
      <c r="AH27" s="89"/>
      <c r="AI27" s="85">
        <f t="shared" si="10"/>
        <v>0</v>
      </c>
      <c r="AJ27" s="73">
        <f t="shared" si="11"/>
        <v>0</v>
      </c>
      <c r="AK27" s="92">
        <f t="shared" si="30"/>
        <v>0</v>
      </c>
      <c r="AL27" s="84">
        <f t="shared" si="31"/>
        <v>0</v>
      </c>
      <c r="AM27" s="53" t="str">
        <f t="shared" si="32"/>
        <v/>
      </c>
      <c r="AO27" s="73"/>
      <c r="AP27" s="74"/>
      <c r="AQ27" s="68" t="str">
        <f t="shared" si="3"/>
        <v/>
      </c>
    </row>
    <row r="28" spans="1:43" s="49" customFormat="1" x14ac:dyDescent="0.2">
      <c r="A28" s="51" t="s">
        <v>128</v>
      </c>
      <c r="B28" s="226"/>
      <c r="C28" s="224"/>
      <c r="E28" s="79"/>
      <c r="F28" s="274"/>
      <c r="G28" s="79"/>
      <c r="H28" s="274"/>
      <c r="I28" s="73"/>
      <c r="J28" s="71"/>
      <c r="K28" s="73"/>
      <c r="L28" s="73"/>
      <c r="M28" s="73"/>
      <c r="N28" s="73"/>
      <c r="O28" s="73"/>
      <c r="P28" s="74"/>
      <c r="Q28" s="68" t="str">
        <f t="shared" si="29"/>
        <v/>
      </c>
      <c r="R28" s="73"/>
      <c r="S28" s="74"/>
      <c r="U28" s="85"/>
      <c r="V28" s="73"/>
      <c r="W28" s="73"/>
      <c r="X28" s="73"/>
      <c r="Y28" s="70">
        <f t="shared" si="4"/>
        <v>0</v>
      </c>
      <c r="Z28" s="84">
        <f t="shared" si="5"/>
        <v>0</v>
      </c>
      <c r="AB28" s="85"/>
      <c r="AC28" s="84">
        <f t="shared" si="6"/>
        <v>0</v>
      </c>
      <c r="AD28" s="89"/>
      <c r="AE28" s="90">
        <f t="shared" si="7"/>
        <v>0</v>
      </c>
      <c r="AF28" s="73"/>
      <c r="AG28" s="74"/>
      <c r="AH28" s="89"/>
      <c r="AI28" s="85">
        <f t="shared" si="10"/>
        <v>0</v>
      </c>
      <c r="AJ28" s="73">
        <f t="shared" si="11"/>
        <v>0</v>
      </c>
      <c r="AK28" s="92">
        <f t="shared" si="30"/>
        <v>0</v>
      </c>
      <c r="AL28" s="84">
        <f t="shared" si="31"/>
        <v>0</v>
      </c>
      <c r="AM28" s="53" t="str">
        <f t="shared" si="32"/>
        <v/>
      </c>
      <c r="AO28" s="73"/>
      <c r="AP28" s="74"/>
      <c r="AQ28" s="68" t="str">
        <f t="shared" si="3"/>
        <v/>
      </c>
    </row>
    <row r="29" spans="1:43" s="49" customFormat="1" x14ac:dyDescent="0.2">
      <c r="A29" s="51" t="s">
        <v>129</v>
      </c>
      <c r="B29" s="226"/>
      <c r="C29" s="224"/>
      <c r="E29" s="79"/>
      <c r="F29" s="274"/>
      <c r="G29" s="79"/>
      <c r="H29" s="274"/>
      <c r="I29" s="73"/>
      <c r="J29" s="71"/>
      <c r="K29" s="73"/>
      <c r="L29" s="73"/>
      <c r="M29" s="73"/>
      <c r="N29" s="73"/>
      <c r="O29" s="73"/>
      <c r="P29" s="74"/>
      <c r="Q29" s="68" t="str">
        <f t="shared" si="29"/>
        <v/>
      </c>
      <c r="R29" s="73"/>
      <c r="S29" s="74"/>
      <c r="U29" s="85"/>
      <c r="V29" s="73"/>
      <c r="W29" s="73"/>
      <c r="X29" s="73"/>
      <c r="Y29" s="70">
        <f t="shared" si="4"/>
        <v>0</v>
      </c>
      <c r="Z29" s="84">
        <f t="shared" si="5"/>
        <v>0</v>
      </c>
      <c r="AB29" s="85"/>
      <c r="AC29" s="84">
        <f t="shared" si="6"/>
        <v>0</v>
      </c>
      <c r="AD29" s="89"/>
      <c r="AE29" s="90">
        <f t="shared" si="7"/>
        <v>0</v>
      </c>
      <c r="AF29" s="73"/>
      <c r="AG29" s="74"/>
      <c r="AH29" s="89"/>
      <c r="AI29" s="85">
        <f t="shared" si="10"/>
        <v>0</v>
      </c>
      <c r="AJ29" s="73">
        <f t="shared" si="11"/>
        <v>0</v>
      </c>
      <c r="AK29" s="92">
        <f t="shared" si="30"/>
        <v>0</v>
      </c>
      <c r="AL29" s="84">
        <f t="shared" si="31"/>
        <v>0</v>
      </c>
      <c r="AM29" s="53" t="str">
        <f t="shared" si="32"/>
        <v/>
      </c>
      <c r="AO29" s="73"/>
      <c r="AP29" s="74"/>
      <c r="AQ29" s="68" t="str">
        <f t="shared" si="3"/>
        <v/>
      </c>
    </row>
    <row r="30" spans="1:43" s="49" customFormat="1" x14ac:dyDescent="0.2">
      <c r="A30" s="51" t="s">
        <v>130</v>
      </c>
      <c r="B30" s="226"/>
      <c r="C30" s="224"/>
      <c r="E30" s="79"/>
      <c r="F30" s="274"/>
      <c r="G30" s="79"/>
      <c r="H30" s="274"/>
      <c r="I30" s="73"/>
      <c r="J30" s="71"/>
      <c r="K30" s="73"/>
      <c r="L30" s="73"/>
      <c r="M30" s="73"/>
      <c r="N30" s="73"/>
      <c r="O30" s="73"/>
      <c r="P30" s="74"/>
      <c r="Q30" s="68" t="str">
        <f t="shared" si="29"/>
        <v/>
      </c>
      <c r="R30" s="73"/>
      <c r="S30" s="74"/>
      <c r="U30" s="85"/>
      <c r="V30" s="73"/>
      <c r="W30" s="73"/>
      <c r="X30" s="73"/>
      <c r="Y30" s="70">
        <f t="shared" si="4"/>
        <v>0</v>
      </c>
      <c r="Z30" s="84">
        <f t="shared" si="5"/>
        <v>0</v>
      </c>
      <c r="AB30" s="85"/>
      <c r="AC30" s="84">
        <f t="shared" si="6"/>
        <v>0</v>
      </c>
      <c r="AD30" s="89"/>
      <c r="AE30" s="90">
        <f t="shared" si="7"/>
        <v>0</v>
      </c>
      <c r="AF30" s="73"/>
      <c r="AG30" s="74"/>
      <c r="AH30" s="89"/>
      <c r="AI30" s="85">
        <f t="shared" si="10"/>
        <v>0</v>
      </c>
      <c r="AJ30" s="73">
        <f t="shared" si="11"/>
        <v>0</v>
      </c>
      <c r="AK30" s="92">
        <f t="shared" si="30"/>
        <v>0</v>
      </c>
      <c r="AL30" s="84">
        <f t="shared" si="31"/>
        <v>0</v>
      </c>
      <c r="AM30" s="53" t="str">
        <f t="shared" si="32"/>
        <v/>
      </c>
      <c r="AO30" s="73"/>
      <c r="AP30" s="74"/>
      <c r="AQ30" s="68" t="str">
        <f t="shared" si="3"/>
        <v/>
      </c>
    </row>
    <row r="31" spans="1:43" s="49" customFormat="1" x14ac:dyDescent="0.2">
      <c r="A31" s="51" t="s">
        <v>131</v>
      </c>
      <c r="B31" s="226"/>
      <c r="C31" s="224"/>
      <c r="E31" s="79"/>
      <c r="F31" s="274"/>
      <c r="G31" s="79"/>
      <c r="H31" s="274"/>
      <c r="I31" s="73"/>
      <c r="J31" s="71"/>
      <c r="K31" s="73"/>
      <c r="L31" s="73"/>
      <c r="M31" s="73"/>
      <c r="N31" s="73"/>
      <c r="O31" s="73"/>
      <c r="P31" s="74"/>
      <c r="Q31" s="68" t="str">
        <f t="shared" si="29"/>
        <v/>
      </c>
      <c r="R31" s="73"/>
      <c r="S31" s="74"/>
      <c r="U31" s="85"/>
      <c r="V31" s="73"/>
      <c r="W31" s="73"/>
      <c r="X31" s="73"/>
      <c r="Y31" s="70">
        <f t="shared" si="4"/>
        <v>0</v>
      </c>
      <c r="Z31" s="84">
        <f t="shared" si="5"/>
        <v>0</v>
      </c>
      <c r="AB31" s="85"/>
      <c r="AC31" s="84">
        <f t="shared" si="6"/>
        <v>0</v>
      </c>
      <c r="AD31" s="89"/>
      <c r="AE31" s="90">
        <f t="shared" si="7"/>
        <v>0</v>
      </c>
      <c r="AF31" s="73"/>
      <c r="AG31" s="74"/>
      <c r="AH31" s="89"/>
      <c r="AI31" s="85">
        <f t="shared" si="10"/>
        <v>0</v>
      </c>
      <c r="AJ31" s="73">
        <f t="shared" si="11"/>
        <v>0</v>
      </c>
      <c r="AK31" s="92">
        <f t="shared" si="30"/>
        <v>0</v>
      </c>
      <c r="AL31" s="84">
        <f t="shared" si="31"/>
        <v>0</v>
      </c>
      <c r="AM31" s="53" t="str">
        <f t="shared" si="32"/>
        <v/>
      </c>
      <c r="AO31" s="73"/>
      <c r="AP31" s="74"/>
      <c r="AQ31" s="68" t="str">
        <f t="shared" si="3"/>
        <v/>
      </c>
    </row>
    <row r="32" spans="1:43" s="49" customFormat="1" x14ac:dyDescent="0.2">
      <c r="A32" s="51" t="s">
        <v>132</v>
      </c>
      <c r="B32" s="226"/>
      <c r="C32" s="224"/>
      <c r="E32" s="79"/>
      <c r="F32" s="274"/>
      <c r="G32" s="79"/>
      <c r="H32" s="274"/>
      <c r="I32" s="73"/>
      <c r="J32" s="71"/>
      <c r="K32" s="73"/>
      <c r="L32" s="73"/>
      <c r="M32" s="73"/>
      <c r="N32" s="73"/>
      <c r="O32" s="73"/>
      <c r="P32" s="74"/>
      <c r="Q32" s="68" t="str">
        <f t="shared" si="29"/>
        <v/>
      </c>
      <c r="R32" s="73"/>
      <c r="S32" s="74"/>
      <c r="U32" s="85"/>
      <c r="V32" s="73"/>
      <c r="W32" s="73"/>
      <c r="X32" s="73"/>
      <c r="Y32" s="70">
        <f t="shared" si="4"/>
        <v>0</v>
      </c>
      <c r="Z32" s="84">
        <f t="shared" si="5"/>
        <v>0</v>
      </c>
      <c r="AB32" s="85"/>
      <c r="AC32" s="84">
        <f t="shared" si="6"/>
        <v>0</v>
      </c>
      <c r="AD32" s="89"/>
      <c r="AE32" s="90">
        <f t="shared" si="7"/>
        <v>0</v>
      </c>
      <c r="AF32" s="73"/>
      <c r="AG32" s="74"/>
      <c r="AH32" s="89"/>
      <c r="AI32" s="85">
        <f t="shared" si="10"/>
        <v>0</v>
      </c>
      <c r="AJ32" s="73">
        <f t="shared" si="11"/>
        <v>0</v>
      </c>
      <c r="AK32" s="92">
        <f t="shared" si="30"/>
        <v>0</v>
      </c>
      <c r="AL32" s="84">
        <f t="shared" si="31"/>
        <v>0</v>
      </c>
      <c r="AM32" s="53" t="str">
        <f t="shared" si="32"/>
        <v/>
      </c>
      <c r="AO32" s="73"/>
      <c r="AP32" s="74"/>
      <c r="AQ32" s="68" t="str">
        <f t="shared" si="3"/>
        <v/>
      </c>
    </row>
    <row r="33" spans="1:43" s="49" customFormat="1" x14ac:dyDescent="0.2">
      <c r="A33" s="51" t="s">
        <v>133</v>
      </c>
      <c r="B33" s="226"/>
      <c r="C33" s="224"/>
      <c r="E33" s="79"/>
      <c r="F33" s="274"/>
      <c r="G33" s="79"/>
      <c r="H33" s="274"/>
      <c r="I33" s="73"/>
      <c r="J33" s="71"/>
      <c r="K33" s="73"/>
      <c r="L33" s="73"/>
      <c r="M33" s="73"/>
      <c r="N33" s="73"/>
      <c r="O33" s="73"/>
      <c r="P33" s="74"/>
      <c r="Q33" s="68" t="str">
        <f t="shared" si="29"/>
        <v/>
      </c>
      <c r="R33" s="73"/>
      <c r="S33" s="74"/>
      <c r="U33" s="85"/>
      <c r="V33" s="73"/>
      <c r="W33" s="73"/>
      <c r="X33" s="73"/>
      <c r="Y33" s="70">
        <f t="shared" si="4"/>
        <v>0</v>
      </c>
      <c r="Z33" s="84">
        <f t="shared" si="5"/>
        <v>0</v>
      </c>
      <c r="AB33" s="85"/>
      <c r="AC33" s="84">
        <f t="shared" si="6"/>
        <v>0</v>
      </c>
      <c r="AD33" s="89"/>
      <c r="AE33" s="90">
        <f t="shared" si="7"/>
        <v>0</v>
      </c>
      <c r="AF33" s="73"/>
      <c r="AG33" s="74"/>
      <c r="AH33" s="89"/>
      <c r="AI33" s="85">
        <f t="shared" si="10"/>
        <v>0</v>
      </c>
      <c r="AJ33" s="73">
        <f t="shared" si="11"/>
        <v>0</v>
      </c>
      <c r="AK33" s="92">
        <f t="shared" si="30"/>
        <v>0</v>
      </c>
      <c r="AL33" s="84">
        <f t="shared" si="31"/>
        <v>0</v>
      </c>
      <c r="AM33" s="53" t="str">
        <f t="shared" si="32"/>
        <v/>
      </c>
      <c r="AO33" s="73"/>
      <c r="AP33" s="74"/>
      <c r="AQ33" s="68" t="str">
        <f t="shared" si="3"/>
        <v/>
      </c>
    </row>
    <row r="34" spans="1:43" s="49" customFormat="1" x14ac:dyDescent="0.2">
      <c r="A34" s="51" t="s">
        <v>134</v>
      </c>
      <c r="B34" s="226"/>
      <c r="C34" s="224"/>
      <c r="E34" s="79"/>
      <c r="F34" s="274"/>
      <c r="G34" s="79"/>
      <c r="H34" s="274"/>
      <c r="I34" s="73"/>
      <c r="J34" s="71"/>
      <c r="K34" s="73"/>
      <c r="L34" s="73"/>
      <c r="M34" s="73"/>
      <c r="N34" s="73"/>
      <c r="O34" s="73"/>
      <c r="P34" s="74"/>
      <c r="Q34" s="68" t="str">
        <f t="shared" ref="Q34:Q37" si="39">IF(ISERROR(O34/P34),"",O34/P34)</f>
        <v/>
      </c>
      <c r="R34" s="73"/>
      <c r="S34" s="74"/>
      <c r="U34" s="85"/>
      <c r="V34" s="73"/>
      <c r="W34" s="73"/>
      <c r="X34" s="73"/>
      <c r="Y34" s="70">
        <f t="shared" si="4"/>
        <v>0</v>
      </c>
      <c r="Z34" s="84">
        <f t="shared" ref="Z34:Z37" si="40">SUM(U34:Y34)</f>
        <v>0</v>
      </c>
      <c r="AB34" s="85"/>
      <c r="AC34" s="84">
        <f t="shared" si="6"/>
        <v>0</v>
      </c>
      <c r="AD34" s="89"/>
      <c r="AE34" s="90">
        <f t="shared" si="7"/>
        <v>0</v>
      </c>
      <c r="AF34" s="73"/>
      <c r="AG34" s="74"/>
      <c r="AH34" s="89"/>
      <c r="AI34" s="85">
        <f t="shared" si="10"/>
        <v>0</v>
      </c>
      <c r="AJ34" s="73">
        <f t="shared" si="11"/>
        <v>0</v>
      </c>
      <c r="AK34" s="92">
        <f t="shared" ref="AK34:AK37" si="41">P34</f>
        <v>0</v>
      </c>
      <c r="AL34" s="84">
        <f t="shared" ref="AL34:AL37" si="42">SUM(AI34:AK34)</f>
        <v>0</v>
      </c>
      <c r="AM34" s="53" t="str">
        <f t="shared" ref="AM34:AM37" si="43">IFERROR((AI34+AJ34)/AK34,"")</f>
        <v/>
      </c>
      <c r="AO34" s="73"/>
      <c r="AP34" s="74"/>
      <c r="AQ34" s="68" t="str">
        <f t="shared" ref="AQ34:AQ37" si="44">IF(ISERROR(AO34/AP34),"",AO34/AP34)</f>
        <v/>
      </c>
    </row>
    <row r="35" spans="1:43" s="49" customFormat="1" x14ac:dyDescent="0.2">
      <c r="A35" s="51" t="s">
        <v>135</v>
      </c>
      <c r="B35" s="226"/>
      <c r="C35" s="224"/>
      <c r="E35" s="79"/>
      <c r="F35" s="274"/>
      <c r="G35" s="79"/>
      <c r="H35" s="274"/>
      <c r="I35" s="73"/>
      <c r="J35" s="71"/>
      <c r="K35" s="73"/>
      <c r="L35" s="73"/>
      <c r="M35" s="73"/>
      <c r="N35" s="73"/>
      <c r="O35" s="73"/>
      <c r="P35" s="74"/>
      <c r="Q35" s="68" t="str">
        <f t="shared" si="39"/>
        <v/>
      </c>
      <c r="R35" s="73"/>
      <c r="S35" s="74"/>
      <c r="U35" s="85"/>
      <c r="V35" s="73"/>
      <c r="W35" s="73"/>
      <c r="X35" s="73"/>
      <c r="Y35" s="70">
        <f t="shared" si="4"/>
        <v>0</v>
      </c>
      <c r="Z35" s="84">
        <f t="shared" si="40"/>
        <v>0</v>
      </c>
      <c r="AB35" s="85"/>
      <c r="AC35" s="84">
        <f t="shared" si="6"/>
        <v>0</v>
      </c>
      <c r="AD35" s="89"/>
      <c r="AE35" s="90">
        <f t="shared" si="7"/>
        <v>0</v>
      </c>
      <c r="AF35" s="73"/>
      <c r="AG35" s="74"/>
      <c r="AH35" s="89"/>
      <c r="AI35" s="85">
        <f t="shared" si="10"/>
        <v>0</v>
      </c>
      <c r="AJ35" s="73">
        <f t="shared" si="11"/>
        <v>0</v>
      </c>
      <c r="AK35" s="92">
        <f t="shared" si="41"/>
        <v>0</v>
      </c>
      <c r="AL35" s="84">
        <f t="shared" si="42"/>
        <v>0</v>
      </c>
      <c r="AM35" s="53" t="str">
        <f t="shared" si="43"/>
        <v/>
      </c>
      <c r="AO35" s="73"/>
      <c r="AP35" s="74"/>
      <c r="AQ35" s="68" t="str">
        <f t="shared" si="44"/>
        <v/>
      </c>
    </row>
    <row r="36" spans="1:43" s="49" customFormat="1" x14ac:dyDescent="0.2">
      <c r="A36" s="51" t="s">
        <v>136</v>
      </c>
      <c r="B36" s="226"/>
      <c r="C36" s="224"/>
      <c r="E36" s="79"/>
      <c r="F36" s="274"/>
      <c r="G36" s="79"/>
      <c r="H36" s="274"/>
      <c r="I36" s="73"/>
      <c r="J36" s="71"/>
      <c r="K36" s="73"/>
      <c r="L36" s="73"/>
      <c r="M36" s="73"/>
      <c r="N36" s="73"/>
      <c r="O36" s="73"/>
      <c r="P36" s="74"/>
      <c r="Q36" s="68" t="str">
        <f t="shared" si="39"/>
        <v/>
      </c>
      <c r="R36" s="73"/>
      <c r="S36" s="74"/>
      <c r="U36" s="85"/>
      <c r="V36" s="73"/>
      <c r="W36" s="73"/>
      <c r="X36" s="73"/>
      <c r="Y36" s="70">
        <f t="shared" si="4"/>
        <v>0</v>
      </c>
      <c r="Z36" s="84">
        <f t="shared" si="40"/>
        <v>0</v>
      </c>
      <c r="AB36" s="85"/>
      <c r="AC36" s="84">
        <f t="shared" si="6"/>
        <v>0</v>
      </c>
      <c r="AD36" s="89"/>
      <c r="AE36" s="90">
        <f t="shared" si="7"/>
        <v>0</v>
      </c>
      <c r="AF36" s="73"/>
      <c r="AG36" s="74"/>
      <c r="AH36" s="89"/>
      <c r="AI36" s="85">
        <f t="shared" si="10"/>
        <v>0</v>
      </c>
      <c r="AJ36" s="73">
        <f t="shared" si="11"/>
        <v>0</v>
      </c>
      <c r="AK36" s="92">
        <f t="shared" si="41"/>
        <v>0</v>
      </c>
      <c r="AL36" s="84">
        <f t="shared" si="42"/>
        <v>0</v>
      </c>
      <c r="AM36" s="53" t="str">
        <f t="shared" si="43"/>
        <v/>
      </c>
      <c r="AO36" s="73"/>
      <c r="AP36" s="74"/>
      <c r="AQ36" s="68" t="str">
        <f t="shared" si="44"/>
        <v/>
      </c>
    </row>
    <row r="37" spans="1:43" s="49" customFormat="1" x14ac:dyDescent="0.2">
      <c r="A37" s="51" t="s">
        <v>137</v>
      </c>
      <c r="B37" s="226"/>
      <c r="C37" s="224"/>
      <c r="E37" s="79"/>
      <c r="F37" s="274"/>
      <c r="G37" s="79"/>
      <c r="H37" s="274"/>
      <c r="I37" s="73"/>
      <c r="J37" s="71"/>
      <c r="K37" s="73"/>
      <c r="L37" s="73"/>
      <c r="M37" s="73"/>
      <c r="N37" s="73"/>
      <c r="O37" s="73"/>
      <c r="P37" s="74"/>
      <c r="Q37" s="68" t="str">
        <f t="shared" si="39"/>
        <v/>
      </c>
      <c r="R37" s="73"/>
      <c r="S37" s="74"/>
      <c r="U37" s="85"/>
      <c r="V37" s="73"/>
      <c r="W37" s="73"/>
      <c r="X37" s="73"/>
      <c r="Y37" s="70">
        <f t="shared" si="4"/>
        <v>0</v>
      </c>
      <c r="Z37" s="84">
        <f t="shared" si="40"/>
        <v>0</v>
      </c>
      <c r="AB37" s="85"/>
      <c r="AC37" s="84">
        <f t="shared" si="6"/>
        <v>0</v>
      </c>
      <c r="AD37" s="89"/>
      <c r="AE37" s="90">
        <f t="shared" si="7"/>
        <v>0</v>
      </c>
      <c r="AF37" s="73"/>
      <c r="AG37" s="74"/>
      <c r="AH37" s="89"/>
      <c r="AI37" s="85">
        <f t="shared" si="10"/>
        <v>0</v>
      </c>
      <c r="AJ37" s="73">
        <f t="shared" si="11"/>
        <v>0</v>
      </c>
      <c r="AK37" s="92">
        <f t="shared" si="41"/>
        <v>0</v>
      </c>
      <c r="AL37" s="84">
        <f t="shared" si="42"/>
        <v>0</v>
      </c>
      <c r="AM37" s="53" t="str">
        <f t="shared" si="43"/>
        <v/>
      </c>
      <c r="AO37" s="73"/>
      <c r="AP37" s="74"/>
      <c r="AQ37" s="68" t="str">
        <f t="shared" si="44"/>
        <v/>
      </c>
    </row>
    <row r="38" spans="1:43" s="49" customFormat="1" x14ac:dyDescent="0.2">
      <c r="A38" s="51" t="s">
        <v>232</v>
      </c>
      <c r="B38" s="226"/>
      <c r="C38" s="224"/>
      <c r="E38" s="79"/>
      <c r="F38" s="274"/>
      <c r="G38" s="79"/>
      <c r="H38" s="274"/>
      <c r="I38" s="73"/>
      <c r="J38" s="71"/>
      <c r="K38" s="73"/>
      <c r="L38" s="73"/>
      <c r="M38" s="73"/>
      <c r="N38" s="73"/>
      <c r="O38" s="73"/>
      <c r="P38" s="74"/>
      <c r="Q38" s="68" t="str">
        <f t="shared" ref="Q38" si="45">IF(ISERROR(O38/P38),"",O38/P38)</f>
        <v/>
      </c>
      <c r="R38" s="73"/>
      <c r="S38" s="74"/>
      <c r="U38" s="85"/>
      <c r="V38" s="73"/>
      <c r="W38" s="73"/>
      <c r="X38" s="73"/>
      <c r="Y38" s="70">
        <f t="shared" si="4"/>
        <v>0</v>
      </c>
      <c r="Z38" s="84">
        <f t="shared" ref="Z38" si="46">SUM(U38:Y38)</f>
        <v>0</v>
      </c>
      <c r="AB38" s="85"/>
      <c r="AC38" s="84">
        <f t="shared" si="6"/>
        <v>0</v>
      </c>
      <c r="AD38" s="89"/>
      <c r="AE38" s="90">
        <f t="shared" si="7"/>
        <v>0</v>
      </c>
      <c r="AF38" s="73"/>
      <c r="AG38" s="74"/>
      <c r="AH38" s="89"/>
      <c r="AI38" s="85">
        <f t="shared" si="10"/>
        <v>0</v>
      </c>
      <c r="AJ38" s="73">
        <f t="shared" si="11"/>
        <v>0</v>
      </c>
      <c r="AK38" s="92">
        <f t="shared" ref="AK38" si="47">P38</f>
        <v>0</v>
      </c>
      <c r="AL38" s="84">
        <f t="shared" ref="AL38" si="48">SUM(AI38:AK38)</f>
        <v>0</v>
      </c>
      <c r="AM38" s="53" t="str">
        <f t="shared" ref="AM38" si="49">IFERROR((AI38+AJ38)/AK38,"")</f>
        <v/>
      </c>
      <c r="AO38" s="73"/>
      <c r="AP38" s="74"/>
      <c r="AQ38" s="68" t="str">
        <f t="shared" ref="AQ38" si="50">IF(ISERROR(AO38/AP38),"",AO38/AP38)</f>
        <v/>
      </c>
    </row>
    <row r="39" spans="1:43" s="49" customFormat="1" ht="17" thickBot="1" x14ac:dyDescent="0.25">
      <c r="A39" s="51" t="s">
        <v>237</v>
      </c>
      <c r="B39" s="227"/>
      <c r="C39" s="225"/>
      <c r="E39" s="80"/>
      <c r="F39" s="275"/>
      <c r="G39" s="80"/>
      <c r="H39" s="275"/>
      <c r="I39" s="75"/>
      <c r="J39" s="76"/>
      <c r="K39" s="75"/>
      <c r="L39" s="75"/>
      <c r="M39" s="75"/>
      <c r="N39" s="75"/>
      <c r="O39" s="75"/>
      <c r="P39" s="77"/>
      <c r="Q39" s="69" t="str">
        <f t="shared" si="29"/>
        <v/>
      </c>
      <c r="R39" s="75"/>
      <c r="S39" s="77"/>
      <c r="U39" s="86"/>
      <c r="V39" s="73"/>
      <c r="W39" s="73"/>
      <c r="X39" s="73"/>
      <c r="Y39" s="70">
        <f t="shared" si="4"/>
        <v>0</v>
      </c>
      <c r="Z39" s="87">
        <f t="shared" si="5"/>
        <v>0</v>
      </c>
      <c r="AB39" s="86"/>
      <c r="AC39" s="87">
        <f t="shared" si="6"/>
        <v>0</v>
      </c>
      <c r="AD39" s="89"/>
      <c r="AE39" s="91">
        <f t="shared" si="7"/>
        <v>0</v>
      </c>
      <c r="AF39" s="75"/>
      <c r="AG39" s="77"/>
      <c r="AH39" s="89"/>
      <c r="AI39" s="86">
        <f t="shared" si="10"/>
        <v>0</v>
      </c>
      <c r="AJ39" s="75">
        <f t="shared" si="11"/>
        <v>0</v>
      </c>
      <c r="AK39" s="93">
        <f t="shared" si="30"/>
        <v>0</v>
      </c>
      <c r="AL39" s="87">
        <f t="shared" si="31"/>
        <v>0</v>
      </c>
      <c r="AM39" s="54" t="str">
        <f t="shared" si="32"/>
        <v/>
      </c>
      <c r="AO39" s="73"/>
      <c r="AP39" s="74"/>
      <c r="AQ39" s="68" t="str">
        <f t="shared" si="3"/>
        <v/>
      </c>
    </row>
    <row r="41" spans="1:43" s="4" customFormat="1" hidden="1" x14ac:dyDescent="0.2">
      <c r="A41" s="4">
        <v>1</v>
      </c>
      <c r="B41" s="4">
        <f>A41+1</f>
        <v>2</v>
      </c>
      <c r="C41" s="4">
        <f t="shared" ref="C41:AJ41" si="51">B41+1</f>
        <v>3</v>
      </c>
      <c r="D41" s="4">
        <f t="shared" si="51"/>
        <v>4</v>
      </c>
      <c r="G41" s="4">
        <f>D41+1</f>
        <v>5</v>
      </c>
      <c r="I41" s="4">
        <f>G41+1</f>
        <v>6</v>
      </c>
      <c r="J41" s="4">
        <f t="shared" si="51"/>
        <v>7</v>
      </c>
      <c r="K41" s="4">
        <f t="shared" si="51"/>
        <v>8</v>
      </c>
      <c r="L41" s="4">
        <f t="shared" si="51"/>
        <v>9</v>
      </c>
      <c r="M41" s="4">
        <f t="shared" si="51"/>
        <v>10</v>
      </c>
      <c r="N41" s="4">
        <f t="shared" si="51"/>
        <v>11</v>
      </c>
      <c r="O41" s="4">
        <f t="shared" si="51"/>
        <v>12</v>
      </c>
      <c r="P41" s="4">
        <f t="shared" si="51"/>
        <v>13</v>
      </c>
      <c r="Q41" s="94">
        <f t="shared" si="51"/>
        <v>14</v>
      </c>
      <c r="R41" s="94"/>
      <c r="S41" s="94"/>
      <c r="T41" s="4">
        <f>Q41+1</f>
        <v>15</v>
      </c>
      <c r="U41" s="4">
        <f t="shared" si="51"/>
        <v>16</v>
      </c>
      <c r="V41" s="4">
        <f t="shared" si="51"/>
        <v>17</v>
      </c>
      <c r="W41" s="4">
        <f t="shared" si="51"/>
        <v>18</v>
      </c>
      <c r="X41" s="4">
        <f t="shared" si="51"/>
        <v>19</v>
      </c>
      <c r="Y41" s="4">
        <f t="shared" si="51"/>
        <v>20</v>
      </c>
      <c r="Z41" s="4">
        <f t="shared" si="51"/>
        <v>21</v>
      </c>
      <c r="AA41" s="4">
        <f t="shared" si="51"/>
        <v>22</v>
      </c>
      <c r="AB41" s="4">
        <f t="shared" si="51"/>
        <v>23</v>
      </c>
      <c r="AC41" s="4">
        <f t="shared" si="51"/>
        <v>24</v>
      </c>
      <c r="AD41" s="4">
        <f t="shared" si="51"/>
        <v>25</v>
      </c>
      <c r="AE41" s="4">
        <f t="shared" si="51"/>
        <v>26</v>
      </c>
      <c r="AF41" s="4">
        <f t="shared" si="51"/>
        <v>27</v>
      </c>
      <c r="AG41" s="4">
        <f t="shared" si="51"/>
        <v>28</v>
      </c>
      <c r="AH41" s="4">
        <f t="shared" si="51"/>
        <v>29</v>
      </c>
      <c r="AI41" s="4">
        <f t="shared" si="51"/>
        <v>30</v>
      </c>
      <c r="AJ41" s="4">
        <f t="shared" si="51"/>
        <v>31</v>
      </c>
      <c r="AK41" s="4">
        <f t="shared" ref="AK41" si="52">AJ41+1</f>
        <v>32</v>
      </c>
      <c r="AL41" s="4">
        <f t="shared" ref="AL41" si="53">AK41+1</f>
        <v>33</v>
      </c>
      <c r="AM41" s="4">
        <f t="shared" ref="AM41" si="54">AL41+1</f>
        <v>34</v>
      </c>
    </row>
    <row r="42" spans="1:43" ht="17" thickBot="1" x14ac:dyDescent="0.25"/>
    <row r="43" spans="1:43" ht="17" thickBot="1" x14ac:dyDescent="0.25">
      <c r="B43" t="s">
        <v>263</v>
      </c>
      <c r="G43" s="286">
        <v>50</v>
      </c>
      <c r="H43" s="286">
        <v>50</v>
      </c>
      <c r="I43" s="287">
        <v>438216</v>
      </c>
      <c r="J43" s="287"/>
      <c r="K43" s="287">
        <v>394394.4</v>
      </c>
      <c r="L43" s="288">
        <v>1840432.5</v>
      </c>
      <c r="M43" s="289">
        <v>2234826.9</v>
      </c>
      <c r="N43" s="290">
        <v>4711942.3627498327</v>
      </c>
      <c r="O43" s="291">
        <v>2477115.4627498328</v>
      </c>
      <c r="P43" s="292">
        <v>683216</v>
      </c>
      <c r="Q43" s="293">
        <v>3.625669572653206</v>
      </c>
      <c r="R43" s="292">
        <v>1440025</v>
      </c>
      <c r="S43" s="292">
        <v>359900</v>
      </c>
    </row>
  </sheetData>
  <pageMargins left="0.75" right="0.75" top="1" bottom="1" header="0.5" footer="0.5"/>
  <pageSetup orientation="portrait" horizontalDpi="4294967292" verticalDpi="4294967292"/>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290"/>
  <sheetViews>
    <sheetView showGridLines="0" workbookViewId="0">
      <pane ySplit="4" topLeftCell="A5" activePane="bottomLeft" state="frozen"/>
      <selection pane="bottomLeft" activeCell="G18" sqref="A1:G18"/>
    </sheetView>
  </sheetViews>
  <sheetFormatPr baseColWidth="10" defaultColWidth="10.1640625" defaultRowHeight="16" x14ac:dyDescent="0.2"/>
  <cols>
    <col min="1" max="1" width="16.33203125" style="39" bestFit="1" customWidth="1"/>
    <col min="2" max="2" width="13.6640625" style="39" bestFit="1" customWidth="1"/>
    <col min="3" max="3" width="27.5" style="39" customWidth="1"/>
    <col min="4" max="4" width="20.5" style="39" customWidth="1"/>
    <col min="5" max="5" width="32.33203125" style="39" customWidth="1"/>
    <col min="6" max="6" width="14.5" style="39" customWidth="1"/>
    <col min="7" max="7" width="13.5" style="39" bestFit="1" customWidth="1"/>
    <col min="8" max="8" width="13.1640625" style="39" customWidth="1"/>
    <col min="9" max="9" width="12.83203125" style="39" bestFit="1" customWidth="1"/>
    <col min="10" max="10" width="12" style="39" bestFit="1" customWidth="1"/>
    <col min="11" max="11" width="9.6640625" style="39" bestFit="1" customWidth="1"/>
    <col min="12" max="12" width="22.83203125" style="39" customWidth="1"/>
    <col min="13" max="13" width="16.5" style="39" customWidth="1"/>
    <col min="14" max="14" width="16.6640625" style="39" bestFit="1" customWidth="1"/>
    <col min="15" max="15" width="18.1640625" style="39" customWidth="1"/>
    <col min="16" max="16" width="16" style="39" customWidth="1"/>
    <col min="17" max="16384" width="10.1640625" style="39"/>
  </cols>
  <sheetData>
    <row r="4" spans="1:16" ht="57" x14ac:dyDescent="0.35">
      <c r="A4" s="38" t="s">
        <v>25</v>
      </c>
      <c r="B4" s="38" t="s">
        <v>26</v>
      </c>
      <c r="C4" s="38" t="s">
        <v>27</v>
      </c>
      <c r="D4" s="38" t="s">
        <v>28</v>
      </c>
      <c r="E4" s="38" t="s">
        <v>29</v>
      </c>
      <c r="F4" s="38" t="s">
        <v>30</v>
      </c>
      <c r="G4" s="38" t="s">
        <v>31</v>
      </c>
      <c r="H4" s="38" t="s">
        <v>32</v>
      </c>
      <c r="I4" s="38" t="s">
        <v>33</v>
      </c>
      <c r="J4" s="38" t="s">
        <v>34</v>
      </c>
      <c r="K4" s="38" t="s">
        <v>35</v>
      </c>
      <c r="L4" s="38" t="s">
        <v>36</v>
      </c>
      <c r="M4" s="38" t="s">
        <v>37</v>
      </c>
      <c r="N4" s="38" t="s">
        <v>38</v>
      </c>
      <c r="O4" s="38" t="s">
        <v>39</v>
      </c>
      <c r="P4" s="38" t="s">
        <v>40</v>
      </c>
    </row>
    <row r="5" spans="1:16" s="45" customFormat="1" ht="178.5" customHeight="1" x14ac:dyDescent="0.2">
      <c r="A5" s="40" t="s">
        <v>41</v>
      </c>
      <c r="B5" s="40" t="s">
        <v>42</v>
      </c>
      <c r="C5" s="40" t="s">
        <v>43</v>
      </c>
      <c r="D5" s="40" t="s">
        <v>44</v>
      </c>
      <c r="E5" s="40" t="s">
        <v>45</v>
      </c>
      <c r="F5" s="40" t="s">
        <v>46</v>
      </c>
      <c r="G5" s="41">
        <v>41608</v>
      </c>
      <c r="H5" s="41" t="s">
        <v>47</v>
      </c>
      <c r="I5" s="42" t="s">
        <v>48</v>
      </c>
      <c r="J5" s="42" t="s">
        <v>49</v>
      </c>
      <c r="K5" s="42">
        <v>1.76</v>
      </c>
      <c r="L5" s="40" t="s">
        <v>50</v>
      </c>
      <c r="M5" s="43">
        <v>300000</v>
      </c>
      <c r="N5" s="43">
        <v>700000</v>
      </c>
      <c r="O5" s="44">
        <f>M5/N5</f>
        <v>0.42857142857142855</v>
      </c>
      <c r="P5" s="43" t="s">
        <v>51</v>
      </c>
    </row>
    <row r="6" spans="1:16" s="45" customFormat="1" ht="215.25" customHeight="1" x14ac:dyDescent="0.2">
      <c r="A6" s="40" t="s">
        <v>52</v>
      </c>
      <c r="B6" s="40" t="s">
        <v>53</v>
      </c>
      <c r="C6" s="40" t="s">
        <v>54</v>
      </c>
      <c r="D6" s="40" t="s">
        <v>55</v>
      </c>
      <c r="E6" s="40" t="s">
        <v>56</v>
      </c>
      <c r="F6" s="40" t="s">
        <v>57</v>
      </c>
      <c r="G6" s="41">
        <v>41608</v>
      </c>
      <c r="H6" s="41" t="s">
        <v>58</v>
      </c>
      <c r="I6" s="43">
        <v>311000</v>
      </c>
      <c r="J6" s="43">
        <v>490000</v>
      </c>
      <c r="K6" s="42">
        <v>1.3</v>
      </c>
      <c r="L6" s="40" t="s">
        <v>59</v>
      </c>
      <c r="M6" s="43">
        <v>68000</v>
      </c>
      <c r="N6" s="43">
        <f>I6-M6</f>
        <v>243000</v>
      </c>
      <c r="O6" s="44">
        <f>M6/N6</f>
        <v>0.27983539094650206</v>
      </c>
      <c r="P6" s="43">
        <v>63000</v>
      </c>
    </row>
    <row r="7" spans="1:16" s="45" customFormat="1" ht="215.25" customHeight="1" x14ac:dyDescent="0.2">
      <c r="A7" s="40" t="s">
        <v>60</v>
      </c>
      <c r="B7" s="40" t="s">
        <v>53</v>
      </c>
      <c r="C7" s="40" t="s">
        <v>54</v>
      </c>
      <c r="D7" s="40"/>
      <c r="E7" s="40" t="s">
        <v>61</v>
      </c>
      <c r="F7" s="40" t="s">
        <v>62</v>
      </c>
      <c r="G7" s="41" t="s">
        <v>63</v>
      </c>
      <c r="H7" s="41" t="s">
        <v>58</v>
      </c>
      <c r="I7" s="43">
        <v>78000</v>
      </c>
      <c r="J7" s="43">
        <v>464000</v>
      </c>
      <c r="K7" s="42">
        <v>1.3</v>
      </c>
      <c r="L7" s="40" t="s">
        <v>64</v>
      </c>
      <c r="M7" s="43">
        <v>12000</v>
      </c>
      <c r="N7" s="43">
        <f>I7-M7</f>
        <v>66000</v>
      </c>
      <c r="O7" s="44">
        <f>M7/N7</f>
        <v>0.18181818181818182</v>
      </c>
      <c r="P7" s="43">
        <v>315000</v>
      </c>
    </row>
    <row r="8" spans="1:16" s="45" customFormat="1" ht="215.25" customHeight="1" x14ac:dyDescent="0.2">
      <c r="A8" s="40" t="s">
        <v>65</v>
      </c>
      <c r="B8" s="40" t="s">
        <v>66</v>
      </c>
      <c r="C8" s="40" t="s">
        <v>67</v>
      </c>
      <c r="D8" s="40" t="s">
        <v>68</v>
      </c>
      <c r="E8" s="40" t="s">
        <v>69</v>
      </c>
      <c r="F8" s="40" t="s">
        <v>57</v>
      </c>
      <c r="G8" s="41" t="s">
        <v>63</v>
      </c>
      <c r="H8" s="41" t="s">
        <v>58</v>
      </c>
      <c r="I8" s="43">
        <v>851000</v>
      </c>
      <c r="J8" s="43">
        <v>1874000</v>
      </c>
      <c r="K8" s="42">
        <v>2.2999999999999998</v>
      </c>
      <c r="L8" s="40" t="s">
        <v>70</v>
      </c>
      <c r="M8" s="43">
        <v>138000</v>
      </c>
      <c r="N8" s="43">
        <f>I8-M8</f>
        <v>713000</v>
      </c>
      <c r="O8" s="44">
        <f>M8/N8</f>
        <v>0.19354838709677419</v>
      </c>
      <c r="P8" s="43">
        <v>176000</v>
      </c>
    </row>
    <row r="9" spans="1:16" s="45" customFormat="1" ht="215.25" customHeight="1" x14ac:dyDescent="0.2">
      <c r="A9" s="40" t="s">
        <v>152</v>
      </c>
      <c r="B9" s="40" t="s">
        <v>71</v>
      </c>
      <c r="C9" s="40" t="s">
        <v>72</v>
      </c>
      <c r="D9" s="40"/>
      <c r="E9" s="40" t="s">
        <v>73</v>
      </c>
      <c r="F9" s="40" t="s">
        <v>74</v>
      </c>
      <c r="G9" s="41">
        <v>41608</v>
      </c>
      <c r="H9" s="41" t="s">
        <v>47</v>
      </c>
      <c r="I9" s="43">
        <v>950000</v>
      </c>
      <c r="J9" s="43" t="s">
        <v>75</v>
      </c>
      <c r="K9" s="46">
        <v>2</v>
      </c>
      <c r="L9" s="40" t="s">
        <v>76</v>
      </c>
      <c r="M9" s="43">
        <v>700000</v>
      </c>
      <c r="N9" s="43">
        <v>250000</v>
      </c>
      <c r="O9" s="44">
        <f>M9/N9</f>
        <v>2.8</v>
      </c>
      <c r="P9" s="43" t="s">
        <v>77</v>
      </c>
    </row>
    <row r="10" spans="1:16" s="45" customFormat="1" ht="215.25" customHeight="1" x14ac:dyDescent="0.2">
      <c r="A10" s="40" t="s">
        <v>78</v>
      </c>
      <c r="B10" s="40" t="s">
        <v>79</v>
      </c>
      <c r="C10" s="40" t="s">
        <v>80</v>
      </c>
      <c r="D10" s="40"/>
      <c r="E10" s="40" t="s">
        <v>81</v>
      </c>
      <c r="F10" s="40" t="s">
        <v>82</v>
      </c>
      <c r="G10" s="41">
        <v>43100</v>
      </c>
      <c r="H10" s="41" t="s">
        <v>83</v>
      </c>
      <c r="I10" s="43">
        <f>800000+50000+(1200000*4)+600000</f>
        <v>6250000</v>
      </c>
      <c r="J10" s="43" t="s">
        <v>84</v>
      </c>
      <c r="K10" s="43" t="s">
        <v>84</v>
      </c>
      <c r="L10" s="40" t="s">
        <v>85</v>
      </c>
      <c r="M10" s="43" t="s">
        <v>84</v>
      </c>
      <c r="N10" s="43" t="s">
        <v>84</v>
      </c>
      <c r="O10" s="44" t="s">
        <v>84</v>
      </c>
      <c r="P10" s="43" t="s">
        <v>84</v>
      </c>
    </row>
    <row r="11" spans="1:16" s="45" customFormat="1" ht="215.25" customHeight="1" x14ac:dyDescent="0.2">
      <c r="A11" s="40" t="s">
        <v>86</v>
      </c>
      <c r="B11" s="40" t="s">
        <v>79</v>
      </c>
      <c r="C11" s="40" t="s">
        <v>80</v>
      </c>
      <c r="D11" s="40"/>
      <c r="E11" s="40" t="s">
        <v>87</v>
      </c>
      <c r="F11" s="40" t="s">
        <v>88</v>
      </c>
      <c r="G11" s="41">
        <v>42369</v>
      </c>
      <c r="H11" s="41" t="s">
        <v>84</v>
      </c>
      <c r="I11" s="43">
        <f>(50+550+550+50+175+175)*1000</f>
        <v>1550000</v>
      </c>
      <c r="J11" s="43" t="s">
        <v>84</v>
      </c>
      <c r="K11" s="42" t="s">
        <v>84</v>
      </c>
      <c r="L11" s="40" t="s">
        <v>84</v>
      </c>
      <c r="M11" s="43" t="s">
        <v>89</v>
      </c>
      <c r="N11" s="43">
        <f>200000+50000</f>
        <v>250000</v>
      </c>
      <c r="O11" s="44"/>
      <c r="P11" s="43"/>
    </row>
    <row r="12" spans="1:16" s="45" customFormat="1" ht="215.25" customHeight="1" x14ac:dyDescent="0.2">
      <c r="A12" s="40" t="s">
        <v>90</v>
      </c>
      <c r="B12" s="40" t="s">
        <v>79</v>
      </c>
      <c r="C12" s="40" t="s">
        <v>80</v>
      </c>
      <c r="D12" s="40" t="s">
        <v>91</v>
      </c>
      <c r="E12" s="40" t="s">
        <v>92</v>
      </c>
      <c r="F12" s="40" t="s">
        <v>57</v>
      </c>
      <c r="G12" s="41">
        <v>42369</v>
      </c>
      <c r="H12" s="41" t="s">
        <v>93</v>
      </c>
      <c r="I12" s="43">
        <v>960000</v>
      </c>
      <c r="J12" s="43" t="s">
        <v>84</v>
      </c>
      <c r="K12" s="42">
        <v>3.7</v>
      </c>
      <c r="L12" s="40" t="s">
        <v>94</v>
      </c>
      <c r="M12" s="43"/>
      <c r="N12" s="43"/>
      <c r="O12" s="44"/>
      <c r="P12" s="43"/>
    </row>
    <row r="13" spans="1:16" s="45" customFormat="1" ht="215.25" customHeight="1" x14ac:dyDescent="0.2">
      <c r="A13" s="40" t="s">
        <v>95</v>
      </c>
      <c r="B13" s="40" t="s">
        <v>79</v>
      </c>
      <c r="C13" s="40" t="s">
        <v>80</v>
      </c>
      <c r="D13" s="40"/>
      <c r="E13" s="40" t="s">
        <v>96</v>
      </c>
      <c r="F13" s="40" t="s">
        <v>57</v>
      </c>
      <c r="G13" s="41"/>
      <c r="H13" s="41" t="s">
        <v>97</v>
      </c>
      <c r="I13" s="43">
        <v>100000</v>
      </c>
      <c r="J13" s="43"/>
      <c r="K13" s="42"/>
      <c r="L13" s="40"/>
      <c r="M13" s="43"/>
      <c r="N13" s="43"/>
      <c r="O13" s="44"/>
      <c r="P13" s="43"/>
    </row>
    <row r="14" spans="1:16" s="45" customFormat="1" ht="215.25" customHeight="1" x14ac:dyDescent="0.2">
      <c r="A14" s="40" t="s">
        <v>199</v>
      </c>
      <c r="B14" s="40" t="s">
        <v>79</v>
      </c>
      <c r="C14" s="40" t="s">
        <v>80</v>
      </c>
      <c r="D14" s="40"/>
      <c r="E14" s="40" t="s">
        <v>200</v>
      </c>
      <c r="F14" s="40" t="s">
        <v>88</v>
      </c>
      <c r="G14" s="41"/>
      <c r="H14" s="41"/>
      <c r="I14" s="43">
        <v>1175000</v>
      </c>
      <c r="J14" s="43"/>
      <c r="K14" s="42"/>
      <c r="L14" s="40"/>
      <c r="M14" s="43"/>
      <c r="N14" s="43"/>
      <c r="O14" s="44"/>
      <c r="P14" s="43"/>
    </row>
    <row r="15" spans="1:16" s="45" customFormat="1" ht="215.25" customHeight="1" x14ac:dyDescent="0.2">
      <c r="A15" s="40" t="s">
        <v>213</v>
      </c>
      <c r="B15" s="40" t="s">
        <v>79</v>
      </c>
      <c r="C15" s="40" t="s">
        <v>80</v>
      </c>
      <c r="D15" s="40"/>
      <c r="E15" s="40" t="s">
        <v>201</v>
      </c>
      <c r="F15" s="40" t="s">
        <v>88</v>
      </c>
      <c r="G15" s="41"/>
      <c r="H15" s="41"/>
      <c r="I15" s="43">
        <v>1175000</v>
      </c>
      <c r="J15" s="43"/>
      <c r="K15" s="42"/>
      <c r="L15" s="40"/>
      <c r="M15" s="43"/>
      <c r="N15" s="43"/>
      <c r="O15" s="44"/>
      <c r="P15" s="43"/>
    </row>
    <row r="16" spans="1:16" s="45" customFormat="1" ht="215.25" customHeight="1" x14ac:dyDescent="0.2">
      <c r="A16" s="40" t="s">
        <v>98</v>
      </c>
      <c r="B16" s="40" t="s">
        <v>79</v>
      </c>
      <c r="C16" s="40" t="s">
        <v>80</v>
      </c>
      <c r="D16" s="40" t="s">
        <v>99</v>
      </c>
      <c r="E16" s="40" t="s">
        <v>100</v>
      </c>
      <c r="F16" s="40" t="s">
        <v>57</v>
      </c>
      <c r="G16" s="41"/>
      <c r="H16" s="41"/>
      <c r="I16" s="43">
        <v>150000</v>
      </c>
      <c r="J16" s="43"/>
      <c r="K16" s="42"/>
      <c r="L16" s="40"/>
      <c r="M16" s="43"/>
      <c r="N16" s="43"/>
      <c r="O16" s="44"/>
      <c r="P16" s="43"/>
    </row>
    <row r="17" spans="1:16" s="45" customFormat="1" ht="215.25" customHeight="1" x14ac:dyDescent="0.2">
      <c r="A17" s="40" t="s">
        <v>211</v>
      </c>
      <c r="B17" s="40" t="s">
        <v>79</v>
      </c>
      <c r="C17" s="40" t="s">
        <v>80</v>
      </c>
      <c r="D17" s="40"/>
      <c r="E17" s="40" t="s">
        <v>101</v>
      </c>
      <c r="F17" s="40" t="s">
        <v>57</v>
      </c>
      <c r="G17" s="41"/>
      <c r="H17" s="41"/>
      <c r="I17" s="43">
        <v>250000</v>
      </c>
      <c r="J17" s="43"/>
      <c r="K17" s="42"/>
      <c r="L17" s="40"/>
      <c r="M17" s="43"/>
      <c r="N17" s="43"/>
      <c r="O17" s="44"/>
      <c r="P17" s="43"/>
    </row>
    <row r="18" spans="1:16" s="45" customFormat="1" ht="215.25" customHeight="1" x14ac:dyDescent="0.2">
      <c r="A18" s="40" t="s">
        <v>102</v>
      </c>
      <c r="B18" s="40" t="s">
        <v>103</v>
      </c>
      <c r="C18" s="40" t="s">
        <v>104</v>
      </c>
      <c r="D18" s="40"/>
      <c r="E18" s="40" t="s">
        <v>105</v>
      </c>
      <c r="F18" s="40" t="s">
        <v>57</v>
      </c>
      <c r="G18" s="41">
        <v>41820</v>
      </c>
      <c r="H18" s="41"/>
      <c r="I18" s="43">
        <v>3051000</v>
      </c>
      <c r="J18" s="43" t="s">
        <v>106</v>
      </c>
      <c r="K18" s="42"/>
      <c r="L18" s="40" t="s">
        <v>107</v>
      </c>
      <c r="M18" s="43">
        <v>850000</v>
      </c>
      <c r="N18" s="43">
        <f>I18-M18</f>
        <v>2201000</v>
      </c>
      <c r="O18" s="44">
        <f>M18/N18</f>
        <v>0.38618809631985462</v>
      </c>
      <c r="P18" s="43">
        <v>1992300</v>
      </c>
    </row>
    <row r="19" spans="1:16" s="45" customFormat="1" ht="215.25" customHeight="1" x14ac:dyDescent="0.2">
      <c r="A19" s="40" t="s">
        <v>169</v>
      </c>
      <c r="B19" s="40" t="s">
        <v>170</v>
      </c>
      <c r="C19" s="40" t="s">
        <v>171</v>
      </c>
      <c r="D19" s="40"/>
      <c r="E19" s="40"/>
      <c r="F19" s="40"/>
      <c r="G19" s="41"/>
      <c r="H19" s="41"/>
      <c r="I19" s="43"/>
      <c r="J19" s="43"/>
      <c r="K19" s="42"/>
      <c r="L19" s="40"/>
      <c r="M19" s="43"/>
      <c r="N19" s="43"/>
      <c r="O19" s="44"/>
      <c r="P19" s="43"/>
    </row>
    <row r="20" spans="1:16" s="45" customFormat="1" ht="215.25" customHeight="1" x14ac:dyDescent="0.2">
      <c r="A20" s="40" t="s">
        <v>214</v>
      </c>
      <c r="B20" s="40" t="s">
        <v>215</v>
      </c>
      <c r="C20" s="40"/>
      <c r="D20" s="40"/>
      <c r="E20" s="40"/>
      <c r="F20" s="40"/>
      <c r="G20" s="41"/>
      <c r="H20" s="41"/>
      <c r="I20" s="43"/>
      <c r="J20" s="43"/>
      <c r="K20" s="42"/>
      <c r="L20" s="40"/>
      <c r="M20" s="43"/>
      <c r="N20" s="43"/>
      <c r="O20" s="44"/>
      <c r="P20" s="43"/>
    </row>
    <row r="21" spans="1:16" s="45" customFormat="1" ht="215.25" customHeight="1" x14ac:dyDescent="0.2">
      <c r="A21" s="40"/>
      <c r="B21" s="40"/>
      <c r="C21" s="40"/>
      <c r="D21" s="40"/>
      <c r="E21" s="40"/>
      <c r="F21" s="40"/>
      <c r="G21" s="41"/>
      <c r="H21" s="41"/>
      <c r="I21" s="43"/>
      <c r="J21" s="43"/>
      <c r="K21" s="42"/>
      <c r="L21" s="40"/>
      <c r="M21" s="43"/>
      <c r="N21" s="43"/>
      <c r="O21" s="44"/>
      <c r="P21" s="43"/>
    </row>
    <row r="22" spans="1:16" s="45" customFormat="1" ht="215.25" customHeight="1" x14ac:dyDescent="0.2">
      <c r="A22" s="40"/>
      <c r="B22" s="40"/>
      <c r="C22" s="40"/>
      <c r="D22" s="40"/>
      <c r="E22" s="40"/>
      <c r="F22" s="40"/>
      <c r="G22" s="41"/>
      <c r="H22" s="41"/>
      <c r="I22" s="43"/>
      <c r="J22" s="43"/>
      <c r="K22" s="42"/>
      <c r="L22" s="40"/>
      <c r="M22" s="43"/>
      <c r="N22" s="43"/>
      <c r="O22" s="44"/>
      <c r="P22" s="43"/>
    </row>
    <row r="23" spans="1:16" s="45" customFormat="1" ht="215.25" customHeight="1" x14ac:dyDescent="0.2">
      <c r="A23" s="40"/>
      <c r="B23" s="40"/>
      <c r="C23" s="40"/>
      <c r="D23" s="40"/>
      <c r="E23" s="40"/>
      <c r="F23" s="40"/>
      <c r="G23" s="41"/>
      <c r="H23" s="41"/>
      <c r="I23" s="43"/>
      <c r="J23" s="43"/>
      <c r="K23" s="42"/>
      <c r="L23" s="40"/>
      <c r="M23" s="43"/>
      <c r="N23" s="43"/>
      <c r="O23" s="44"/>
      <c r="P23" s="43"/>
    </row>
    <row r="24" spans="1:16" s="45" customFormat="1" ht="215.25" customHeight="1" x14ac:dyDescent="0.2">
      <c r="A24" s="40"/>
      <c r="B24" s="40"/>
      <c r="C24" s="40"/>
      <c r="D24" s="40"/>
      <c r="E24" s="40"/>
      <c r="F24" s="40"/>
      <c r="G24" s="41"/>
      <c r="H24" s="41"/>
      <c r="I24" s="43"/>
      <c r="J24" s="43"/>
      <c r="K24" s="42"/>
      <c r="L24" s="40"/>
      <c r="M24" s="43"/>
      <c r="N24" s="43"/>
      <c r="O24" s="44"/>
      <c r="P24" s="43"/>
    </row>
    <row r="25" spans="1:16" s="45" customFormat="1" ht="215.25" customHeight="1" x14ac:dyDescent="0.2">
      <c r="A25" s="40"/>
      <c r="B25" s="40"/>
      <c r="C25" s="40"/>
      <c r="D25" s="40"/>
      <c r="E25" s="40"/>
      <c r="F25" s="40"/>
      <c r="G25" s="41"/>
      <c r="H25" s="41"/>
      <c r="I25" s="43"/>
      <c r="J25" s="43"/>
      <c r="K25" s="42"/>
      <c r="L25" s="40"/>
      <c r="M25" s="43"/>
      <c r="N25" s="43"/>
      <c r="O25" s="44"/>
      <c r="P25" s="43"/>
    </row>
    <row r="26" spans="1:16" s="45" customFormat="1" ht="215.25" customHeight="1" x14ac:dyDescent="0.2">
      <c r="A26" s="40"/>
      <c r="B26" s="40"/>
      <c r="C26" s="40"/>
      <c r="D26" s="40"/>
      <c r="E26" s="40"/>
      <c r="F26" s="40"/>
      <c r="G26" s="41"/>
      <c r="H26" s="41"/>
      <c r="I26" s="43"/>
      <c r="J26" s="43"/>
      <c r="K26" s="42"/>
      <c r="L26" s="40"/>
      <c r="M26" s="43"/>
      <c r="N26" s="43"/>
      <c r="O26" s="44"/>
      <c r="P26" s="43"/>
    </row>
    <row r="27" spans="1:16" s="45" customFormat="1" ht="215.25" customHeight="1" x14ac:dyDescent="0.2">
      <c r="A27" s="40"/>
      <c r="B27" s="40"/>
      <c r="C27" s="40"/>
      <c r="D27" s="40"/>
      <c r="E27" s="40"/>
      <c r="F27" s="40"/>
      <c r="G27" s="41"/>
      <c r="H27" s="41"/>
      <c r="I27" s="43"/>
      <c r="J27" s="43"/>
      <c r="K27" s="42"/>
      <c r="L27" s="40"/>
      <c r="M27" s="43"/>
      <c r="N27" s="43"/>
      <c r="O27" s="44"/>
      <c r="P27" s="43"/>
    </row>
    <row r="28" spans="1:16" s="45" customFormat="1" ht="215.25" customHeight="1" x14ac:dyDescent="0.2">
      <c r="A28" s="40"/>
      <c r="B28" s="40"/>
      <c r="C28" s="40"/>
      <c r="D28" s="40"/>
      <c r="E28" s="40"/>
      <c r="F28" s="40"/>
      <c r="G28" s="41"/>
      <c r="H28" s="41"/>
      <c r="I28" s="43"/>
      <c r="J28" s="43"/>
      <c r="K28" s="42"/>
      <c r="L28" s="40"/>
      <c r="M28" s="43"/>
      <c r="N28" s="43"/>
      <c r="O28" s="44"/>
      <c r="P28" s="43"/>
    </row>
    <row r="29" spans="1:16" s="45" customFormat="1" ht="215.25" customHeight="1" x14ac:dyDescent="0.2">
      <c r="A29" s="40"/>
      <c r="B29" s="40"/>
      <c r="C29" s="40"/>
      <c r="D29" s="40"/>
      <c r="E29" s="40"/>
      <c r="F29" s="40"/>
      <c r="G29" s="41"/>
      <c r="H29" s="41"/>
      <c r="I29" s="43"/>
      <c r="J29" s="43"/>
      <c r="K29" s="42"/>
      <c r="L29" s="40"/>
      <c r="M29" s="43"/>
      <c r="N29" s="43"/>
      <c r="O29" s="44"/>
      <c r="P29" s="43"/>
    </row>
    <row r="30" spans="1:16" s="45" customFormat="1" ht="215.25" customHeight="1" x14ac:dyDescent="0.2">
      <c r="A30" s="40"/>
      <c r="B30" s="40"/>
      <c r="C30" s="40"/>
      <c r="D30" s="40"/>
      <c r="E30" s="40"/>
      <c r="F30" s="40"/>
      <c r="G30" s="41"/>
      <c r="H30" s="41"/>
      <c r="I30" s="43"/>
      <c r="J30" s="43"/>
      <c r="K30" s="42"/>
      <c r="L30" s="40"/>
      <c r="M30" s="43"/>
      <c r="N30" s="43"/>
      <c r="O30" s="44"/>
      <c r="P30" s="43"/>
    </row>
    <row r="31" spans="1:16" s="45" customFormat="1" ht="215.25" customHeight="1" x14ac:dyDescent="0.2">
      <c r="A31" s="40"/>
      <c r="B31" s="40"/>
      <c r="C31" s="40"/>
      <c r="D31" s="40"/>
      <c r="E31" s="40"/>
      <c r="F31" s="40"/>
      <c r="G31" s="41"/>
      <c r="H31" s="41"/>
      <c r="I31" s="43"/>
      <c r="J31" s="43"/>
      <c r="K31" s="42"/>
      <c r="L31" s="40"/>
      <c r="M31" s="43"/>
      <c r="N31" s="43"/>
      <c r="O31" s="44"/>
      <c r="P31" s="43"/>
    </row>
    <row r="32" spans="1:16" s="45" customFormat="1" ht="215.25" customHeight="1" x14ac:dyDescent="0.2">
      <c r="A32" s="40"/>
      <c r="B32" s="40"/>
      <c r="C32" s="40"/>
      <c r="D32" s="40"/>
      <c r="E32" s="40"/>
      <c r="F32" s="40"/>
      <c r="G32" s="41"/>
      <c r="H32" s="41"/>
      <c r="I32" s="43"/>
      <c r="J32" s="43"/>
      <c r="K32" s="42"/>
      <c r="L32" s="40"/>
      <c r="M32" s="43"/>
      <c r="N32" s="43"/>
      <c r="O32" s="44"/>
      <c r="P32" s="43"/>
    </row>
    <row r="33" spans="1:16" s="45" customFormat="1" ht="215.25" customHeight="1" x14ac:dyDescent="0.2">
      <c r="A33" s="40"/>
      <c r="B33" s="40"/>
      <c r="C33" s="40"/>
      <c r="D33" s="40"/>
      <c r="E33" s="40"/>
      <c r="F33" s="40"/>
      <c r="G33" s="41"/>
      <c r="H33" s="41"/>
      <c r="I33" s="43"/>
      <c r="J33" s="43"/>
      <c r="K33" s="42"/>
      <c r="L33" s="40"/>
      <c r="M33" s="43"/>
      <c r="N33" s="43"/>
      <c r="O33" s="44"/>
      <c r="P33" s="43"/>
    </row>
    <row r="34" spans="1:16" s="45" customFormat="1" ht="215.25" customHeight="1" x14ac:dyDescent="0.2">
      <c r="A34" s="40"/>
      <c r="B34" s="40"/>
      <c r="C34" s="40"/>
      <c r="D34" s="40"/>
      <c r="E34" s="40"/>
      <c r="F34" s="40"/>
      <c r="G34" s="41"/>
      <c r="H34" s="41"/>
      <c r="I34" s="43"/>
      <c r="J34" s="43"/>
      <c r="K34" s="42"/>
      <c r="L34" s="40"/>
      <c r="M34" s="43"/>
      <c r="N34" s="43"/>
      <c r="O34" s="44"/>
      <c r="P34" s="43"/>
    </row>
    <row r="35" spans="1:16" s="45" customFormat="1" x14ac:dyDescent="0.2"/>
    <row r="36" spans="1:16" s="45" customFormat="1" x14ac:dyDescent="0.2"/>
    <row r="37" spans="1:16" s="45" customFormat="1" x14ac:dyDescent="0.2"/>
    <row r="38" spans="1:16" s="45" customFormat="1" x14ac:dyDescent="0.2"/>
    <row r="39" spans="1:16" s="45" customFormat="1" x14ac:dyDescent="0.2"/>
    <row r="40" spans="1:16" s="45" customFormat="1" x14ac:dyDescent="0.2"/>
    <row r="41" spans="1:16" s="45" customFormat="1" x14ac:dyDescent="0.2"/>
    <row r="42" spans="1:16" s="45" customFormat="1" x14ac:dyDescent="0.2"/>
    <row r="43" spans="1:16" s="45" customFormat="1" x14ac:dyDescent="0.2"/>
    <row r="44" spans="1:16" s="45" customFormat="1" x14ac:dyDescent="0.2"/>
    <row r="45" spans="1:16" s="45" customFormat="1" x14ac:dyDescent="0.2"/>
    <row r="46" spans="1:16" s="45" customFormat="1" x14ac:dyDescent="0.2"/>
    <row r="47" spans="1:16" s="45" customFormat="1" x14ac:dyDescent="0.2"/>
    <row r="48" spans="1:16" s="45" customFormat="1" x14ac:dyDescent="0.2"/>
    <row r="49" s="45" customFormat="1" x14ac:dyDescent="0.2"/>
    <row r="50" s="45" customFormat="1" x14ac:dyDescent="0.2"/>
    <row r="51" s="45" customFormat="1" x14ac:dyDescent="0.2"/>
    <row r="52" s="45" customFormat="1" x14ac:dyDescent="0.2"/>
    <row r="53" s="45" customFormat="1" x14ac:dyDescent="0.2"/>
    <row r="54" s="45" customFormat="1" x14ac:dyDescent="0.2"/>
    <row r="55" s="45" customFormat="1" x14ac:dyDescent="0.2"/>
    <row r="56" s="45" customFormat="1" x14ac:dyDescent="0.2"/>
    <row r="57" s="45" customFormat="1" x14ac:dyDescent="0.2"/>
    <row r="58" s="45" customFormat="1" x14ac:dyDescent="0.2"/>
    <row r="59" s="45" customFormat="1" x14ac:dyDescent="0.2"/>
    <row r="60" s="45" customFormat="1" x14ac:dyDescent="0.2"/>
    <row r="61" s="45" customFormat="1" x14ac:dyDescent="0.2"/>
    <row r="62" s="45" customFormat="1" x14ac:dyDescent="0.2"/>
    <row r="63" s="45" customFormat="1" x14ac:dyDescent="0.2"/>
    <row r="64" s="45" customFormat="1" x14ac:dyDescent="0.2"/>
    <row r="65" s="45" customFormat="1" x14ac:dyDescent="0.2"/>
    <row r="66" s="45" customFormat="1" x14ac:dyDescent="0.2"/>
    <row r="67" s="45" customFormat="1" x14ac:dyDescent="0.2"/>
    <row r="68" s="45" customFormat="1" x14ac:dyDescent="0.2"/>
    <row r="69" s="45" customFormat="1" x14ac:dyDescent="0.2"/>
    <row r="70" s="45" customFormat="1" x14ac:dyDescent="0.2"/>
    <row r="71" s="45" customFormat="1" x14ac:dyDescent="0.2"/>
    <row r="72" s="45" customFormat="1" x14ac:dyDescent="0.2"/>
    <row r="73" s="45" customFormat="1" x14ac:dyDescent="0.2"/>
    <row r="74" s="45" customFormat="1" x14ac:dyDescent="0.2"/>
    <row r="75" s="45" customFormat="1" x14ac:dyDescent="0.2"/>
    <row r="76" s="45" customFormat="1" x14ac:dyDescent="0.2"/>
    <row r="77" s="45" customFormat="1" x14ac:dyDescent="0.2"/>
    <row r="78" s="45" customFormat="1" x14ac:dyDescent="0.2"/>
    <row r="79" s="45" customFormat="1" x14ac:dyDescent="0.2"/>
    <row r="80" s="45" customFormat="1" x14ac:dyDescent="0.2"/>
    <row r="81" s="45" customFormat="1" x14ac:dyDescent="0.2"/>
    <row r="82" s="45" customFormat="1" x14ac:dyDescent="0.2"/>
    <row r="83" s="45" customFormat="1" x14ac:dyDescent="0.2"/>
    <row r="84" s="45" customFormat="1" x14ac:dyDescent="0.2"/>
    <row r="85" s="45" customFormat="1" x14ac:dyDescent="0.2"/>
    <row r="86" s="45" customFormat="1" x14ac:dyDescent="0.2"/>
    <row r="87" s="45" customFormat="1" x14ac:dyDescent="0.2"/>
    <row r="88" s="45" customFormat="1" x14ac:dyDescent="0.2"/>
    <row r="89" s="45" customFormat="1" x14ac:dyDescent="0.2"/>
    <row r="90" s="45" customFormat="1" x14ac:dyDescent="0.2"/>
    <row r="91" s="45" customFormat="1" x14ac:dyDescent="0.2"/>
    <row r="92" s="45" customFormat="1" x14ac:dyDescent="0.2"/>
    <row r="93" s="45" customFormat="1" x14ac:dyDescent="0.2"/>
    <row r="94" s="45" customFormat="1" x14ac:dyDescent="0.2"/>
    <row r="95" s="45" customFormat="1" x14ac:dyDescent="0.2"/>
    <row r="96" s="45" customFormat="1" x14ac:dyDescent="0.2"/>
    <row r="97" s="45" customFormat="1" x14ac:dyDescent="0.2"/>
    <row r="98" s="45" customFormat="1" x14ac:dyDescent="0.2"/>
    <row r="99" s="45" customFormat="1" x14ac:dyDescent="0.2"/>
    <row r="100" s="45" customFormat="1" x14ac:dyDescent="0.2"/>
    <row r="101" s="45" customFormat="1" x14ac:dyDescent="0.2"/>
    <row r="102" s="45" customFormat="1" x14ac:dyDescent="0.2"/>
    <row r="103" s="45" customFormat="1" x14ac:dyDescent="0.2"/>
    <row r="104" s="45" customFormat="1" x14ac:dyDescent="0.2"/>
    <row r="105" s="45" customFormat="1" x14ac:dyDescent="0.2"/>
    <row r="106" s="45" customFormat="1" x14ac:dyDescent="0.2"/>
    <row r="107" s="45" customFormat="1" x14ac:dyDescent="0.2"/>
    <row r="108" s="45" customFormat="1" x14ac:dyDescent="0.2"/>
    <row r="109" s="45" customFormat="1" x14ac:dyDescent="0.2"/>
    <row r="110" s="45" customFormat="1" x14ac:dyDescent="0.2"/>
    <row r="111" s="45" customFormat="1" x14ac:dyDescent="0.2"/>
    <row r="112" s="45" customFormat="1" x14ac:dyDescent="0.2"/>
    <row r="113" s="45" customFormat="1" x14ac:dyDescent="0.2"/>
    <row r="114" s="45" customFormat="1" x14ac:dyDescent="0.2"/>
    <row r="115" s="45" customFormat="1" x14ac:dyDescent="0.2"/>
    <row r="116" s="45" customFormat="1" x14ac:dyDescent="0.2"/>
    <row r="117" s="45" customFormat="1" x14ac:dyDescent="0.2"/>
    <row r="118" s="45" customFormat="1" x14ac:dyDescent="0.2"/>
    <row r="119" s="45" customFormat="1" x14ac:dyDescent="0.2"/>
    <row r="120" s="45" customFormat="1" x14ac:dyDescent="0.2"/>
    <row r="121" s="45" customFormat="1" x14ac:dyDescent="0.2"/>
    <row r="122" s="45" customFormat="1" x14ac:dyDescent="0.2"/>
    <row r="123" s="45" customFormat="1" x14ac:dyDescent="0.2"/>
    <row r="124" s="45" customFormat="1" x14ac:dyDescent="0.2"/>
    <row r="125" s="45" customFormat="1" x14ac:dyDescent="0.2"/>
    <row r="126" s="45" customFormat="1" x14ac:dyDescent="0.2"/>
    <row r="127" s="45" customFormat="1" x14ac:dyDescent="0.2"/>
    <row r="128" s="45" customFormat="1" x14ac:dyDescent="0.2"/>
    <row r="129" s="45" customFormat="1" x14ac:dyDescent="0.2"/>
    <row r="130" s="45" customFormat="1" x14ac:dyDescent="0.2"/>
    <row r="131" s="45" customFormat="1" x14ac:dyDescent="0.2"/>
    <row r="132" s="45" customFormat="1" x14ac:dyDescent="0.2"/>
    <row r="133" s="45" customFormat="1" x14ac:dyDescent="0.2"/>
    <row r="134" s="45" customFormat="1" x14ac:dyDescent="0.2"/>
    <row r="135" s="45" customFormat="1" x14ac:dyDescent="0.2"/>
    <row r="136" s="45" customFormat="1" x14ac:dyDescent="0.2"/>
    <row r="137" s="45" customFormat="1" x14ac:dyDescent="0.2"/>
    <row r="138" s="45" customFormat="1" x14ac:dyDescent="0.2"/>
    <row r="139" s="45" customFormat="1" x14ac:dyDescent="0.2"/>
    <row r="140" s="45" customFormat="1" x14ac:dyDescent="0.2"/>
    <row r="141" s="45" customFormat="1" x14ac:dyDescent="0.2"/>
    <row r="142" s="45" customFormat="1" x14ac:dyDescent="0.2"/>
    <row r="143" s="45" customFormat="1" x14ac:dyDescent="0.2"/>
    <row r="144" s="45" customFormat="1" x14ac:dyDescent="0.2"/>
    <row r="145" s="45" customFormat="1" x14ac:dyDescent="0.2"/>
    <row r="146" s="45" customFormat="1" x14ac:dyDescent="0.2"/>
    <row r="147" s="45" customFormat="1" x14ac:dyDescent="0.2"/>
    <row r="148" s="45" customFormat="1" x14ac:dyDescent="0.2"/>
    <row r="149" s="45" customFormat="1" x14ac:dyDescent="0.2"/>
    <row r="150" s="45" customFormat="1" x14ac:dyDescent="0.2"/>
    <row r="151" s="45" customFormat="1" x14ac:dyDescent="0.2"/>
    <row r="152" s="45" customFormat="1" x14ac:dyDescent="0.2"/>
    <row r="153" s="45" customFormat="1" x14ac:dyDescent="0.2"/>
    <row r="154" s="45" customFormat="1" x14ac:dyDescent="0.2"/>
    <row r="155" s="45" customFormat="1" x14ac:dyDescent="0.2"/>
    <row r="156" s="45" customFormat="1" x14ac:dyDescent="0.2"/>
    <row r="157" s="45" customFormat="1" x14ac:dyDescent="0.2"/>
    <row r="158" s="45" customFormat="1" x14ac:dyDescent="0.2"/>
    <row r="159" s="45" customFormat="1" x14ac:dyDescent="0.2"/>
    <row r="160" s="45" customFormat="1" x14ac:dyDescent="0.2"/>
    <row r="161" s="45" customFormat="1" x14ac:dyDescent="0.2"/>
    <row r="162" s="45" customFormat="1" x14ac:dyDescent="0.2"/>
    <row r="163" s="45" customFormat="1" x14ac:dyDescent="0.2"/>
    <row r="164" s="45" customFormat="1" x14ac:dyDescent="0.2"/>
    <row r="165" s="45" customFormat="1" x14ac:dyDescent="0.2"/>
    <row r="166" s="45" customFormat="1" x14ac:dyDescent="0.2"/>
    <row r="167" s="45" customFormat="1" x14ac:dyDescent="0.2"/>
    <row r="168" s="45" customFormat="1" x14ac:dyDescent="0.2"/>
    <row r="169" s="45" customFormat="1" x14ac:dyDescent="0.2"/>
    <row r="170" s="45" customFormat="1" x14ac:dyDescent="0.2"/>
    <row r="171" s="45" customFormat="1" x14ac:dyDescent="0.2"/>
    <row r="172" s="45" customFormat="1" x14ac:dyDescent="0.2"/>
    <row r="173" s="45" customFormat="1" x14ac:dyDescent="0.2"/>
    <row r="174" s="45" customFormat="1" x14ac:dyDescent="0.2"/>
    <row r="175" s="45" customFormat="1" x14ac:dyDescent="0.2"/>
    <row r="176" s="45" customFormat="1" x14ac:dyDescent="0.2"/>
    <row r="177" s="45" customFormat="1" x14ac:dyDescent="0.2"/>
    <row r="178" s="45" customFormat="1" x14ac:dyDescent="0.2"/>
    <row r="179" s="45" customFormat="1" x14ac:dyDescent="0.2"/>
    <row r="180" s="45" customFormat="1" x14ac:dyDescent="0.2"/>
    <row r="181" s="45" customFormat="1" x14ac:dyDescent="0.2"/>
    <row r="182" s="45" customFormat="1" x14ac:dyDescent="0.2"/>
    <row r="183" s="45" customFormat="1" x14ac:dyDescent="0.2"/>
    <row r="184" s="45" customFormat="1" x14ac:dyDescent="0.2"/>
    <row r="185" s="45" customFormat="1" x14ac:dyDescent="0.2"/>
    <row r="186" s="45" customFormat="1" x14ac:dyDescent="0.2"/>
    <row r="187" s="45" customFormat="1" x14ac:dyDescent="0.2"/>
    <row r="188" s="45" customFormat="1" x14ac:dyDescent="0.2"/>
    <row r="189" s="45" customFormat="1" x14ac:dyDescent="0.2"/>
    <row r="190" s="45" customFormat="1" x14ac:dyDescent="0.2"/>
    <row r="191" s="45" customFormat="1" x14ac:dyDescent="0.2"/>
    <row r="192" s="45" customFormat="1" x14ac:dyDescent="0.2"/>
    <row r="193" s="45" customFormat="1" x14ac:dyDescent="0.2"/>
    <row r="194" s="45" customFormat="1" x14ac:dyDescent="0.2"/>
    <row r="195" s="45" customFormat="1" x14ac:dyDescent="0.2"/>
    <row r="196" s="45" customFormat="1" x14ac:dyDescent="0.2"/>
    <row r="197" s="45" customFormat="1" x14ac:dyDescent="0.2"/>
    <row r="198" s="45" customFormat="1" x14ac:dyDescent="0.2"/>
    <row r="199" s="45" customFormat="1" x14ac:dyDescent="0.2"/>
    <row r="200" s="45" customFormat="1" x14ac:dyDescent="0.2"/>
    <row r="201" s="45" customFormat="1" x14ac:dyDescent="0.2"/>
    <row r="202" s="45" customFormat="1" x14ac:dyDescent="0.2"/>
    <row r="203" s="45" customFormat="1" x14ac:dyDescent="0.2"/>
    <row r="204" s="45" customFormat="1" x14ac:dyDescent="0.2"/>
    <row r="205" s="45" customFormat="1" x14ac:dyDescent="0.2"/>
    <row r="206" s="45" customFormat="1" x14ac:dyDescent="0.2"/>
    <row r="207" s="45" customFormat="1" x14ac:dyDescent="0.2"/>
    <row r="208" s="45" customFormat="1" x14ac:dyDescent="0.2"/>
    <row r="209" s="45" customFormat="1" x14ac:dyDescent="0.2"/>
    <row r="210" s="45" customFormat="1" x14ac:dyDescent="0.2"/>
    <row r="211" s="45" customFormat="1" x14ac:dyDescent="0.2"/>
    <row r="212" s="45" customFormat="1" x14ac:dyDescent="0.2"/>
    <row r="213" s="45" customFormat="1" x14ac:dyDescent="0.2"/>
    <row r="214" s="45" customFormat="1" x14ac:dyDescent="0.2"/>
    <row r="215" s="45" customFormat="1" x14ac:dyDescent="0.2"/>
    <row r="216" s="45" customFormat="1" x14ac:dyDescent="0.2"/>
    <row r="217" s="45" customFormat="1" x14ac:dyDescent="0.2"/>
    <row r="218" s="45" customFormat="1" x14ac:dyDescent="0.2"/>
    <row r="219" s="45" customFormat="1" x14ac:dyDescent="0.2"/>
    <row r="220" s="45" customFormat="1" x14ac:dyDescent="0.2"/>
    <row r="221" s="45" customFormat="1" x14ac:dyDescent="0.2"/>
    <row r="222" s="45" customFormat="1" x14ac:dyDescent="0.2"/>
    <row r="223" s="45" customFormat="1" x14ac:dyDescent="0.2"/>
    <row r="224" s="45" customFormat="1" x14ac:dyDescent="0.2"/>
    <row r="225" s="45" customFormat="1" x14ac:dyDescent="0.2"/>
    <row r="226" s="45" customFormat="1" x14ac:dyDescent="0.2"/>
    <row r="227" s="45" customFormat="1" x14ac:dyDescent="0.2"/>
    <row r="228" s="45" customFormat="1" x14ac:dyDescent="0.2"/>
    <row r="229" s="45" customFormat="1" x14ac:dyDescent="0.2"/>
    <row r="230" s="45" customFormat="1" x14ac:dyDescent="0.2"/>
    <row r="231" s="45" customFormat="1" x14ac:dyDescent="0.2"/>
    <row r="232" s="45" customFormat="1" x14ac:dyDescent="0.2"/>
    <row r="233" s="45" customFormat="1" x14ac:dyDescent="0.2"/>
    <row r="234" s="45" customFormat="1" x14ac:dyDescent="0.2"/>
    <row r="235" s="45" customFormat="1" x14ac:dyDescent="0.2"/>
    <row r="236" s="45" customFormat="1" x14ac:dyDescent="0.2"/>
    <row r="237" s="45" customFormat="1" x14ac:dyDescent="0.2"/>
    <row r="238" s="45" customFormat="1" x14ac:dyDescent="0.2"/>
    <row r="239" s="45" customFormat="1" x14ac:dyDescent="0.2"/>
    <row r="240" s="45" customFormat="1" x14ac:dyDescent="0.2"/>
    <row r="241" s="45" customFormat="1" x14ac:dyDescent="0.2"/>
    <row r="242" s="45" customFormat="1" x14ac:dyDescent="0.2"/>
    <row r="243" s="45" customFormat="1" x14ac:dyDescent="0.2"/>
    <row r="244" s="45" customFormat="1" x14ac:dyDescent="0.2"/>
    <row r="245" s="45" customFormat="1" x14ac:dyDescent="0.2"/>
    <row r="246" s="45" customFormat="1" x14ac:dyDescent="0.2"/>
    <row r="247" s="45" customFormat="1" x14ac:dyDescent="0.2"/>
    <row r="248" s="45" customFormat="1" x14ac:dyDescent="0.2"/>
    <row r="249" s="45" customFormat="1" x14ac:dyDescent="0.2"/>
    <row r="250" s="45" customFormat="1" x14ac:dyDescent="0.2"/>
    <row r="251" s="45" customFormat="1" x14ac:dyDescent="0.2"/>
    <row r="252" s="45" customFormat="1" x14ac:dyDescent="0.2"/>
    <row r="253" s="45" customFormat="1" x14ac:dyDescent="0.2"/>
    <row r="254" s="45" customFormat="1" x14ac:dyDescent="0.2"/>
    <row r="255" s="45" customFormat="1" x14ac:dyDescent="0.2"/>
    <row r="256" s="45" customFormat="1" x14ac:dyDescent="0.2"/>
    <row r="257" s="45" customFormat="1" x14ac:dyDescent="0.2"/>
    <row r="258" s="45" customFormat="1" x14ac:dyDescent="0.2"/>
    <row r="259" s="45" customFormat="1" x14ac:dyDescent="0.2"/>
    <row r="260" s="45" customFormat="1" x14ac:dyDescent="0.2"/>
    <row r="261" s="45" customFormat="1" x14ac:dyDescent="0.2"/>
    <row r="262" s="45" customFormat="1" x14ac:dyDescent="0.2"/>
    <row r="263" s="45" customFormat="1" x14ac:dyDescent="0.2"/>
    <row r="264" s="45" customFormat="1" x14ac:dyDescent="0.2"/>
    <row r="265" s="45" customFormat="1" x14ac:dyDescent="0.2"/>
    <row r="266" s="45" customFormat="1" x14ac:dyDescent="0.2"/>
    <row r="267" s="45" customFormat="1" x14ac:dyDescent="0.2"/>
    <row r="268" s="45" customFormat="1" x14ac:dyDescent="0.2"/>
    <row r="269" s="45" customFormat="1" x14ac:dyDescent="0.2"/>
    <row r="270" s="45" customFormat="1" x14ac:dyDescent="0.2"/>
    <row r="271" s="45" customFormat="1" x14ac:dyDescent="0.2"/>
    <row r="272" s="45" customFormat="1" x14ac:dyDescent="0.2"/>
    <row r="273" s="45" customFormat="1" x14ac:dyDescent="0.2"/>
    <row r="274" s="45" customFormat="1" x14ac:dyDescent="0.2"/>
    <row r="275" s="45" customFormat="1" x14ac:dyDescent="0.2"/>
    <row r="276" s="45" customFormat="1" x14ac:dyDescent="0.2"/>
    <row r="277" s="45" customFormat="1" x14ac:dyDescent="0.2"/>
    <row r="278" s="45" customFormat="1" x14ac:dyDescent="0.2"/>
    <row r="279" s="45" customFormat="1" x14ac:dyDescent="0.2"/>
    <row r="280" s="45" customFormat="1" x14ac:dyDescent="0.2"/>
    <row r="281" s="45" customFormat="1" x14ac:dyDescent="0.2"/>
    <row r="282" s="45" customFormat="1" x14ac:dyDescent="0.2"/>
    <row r="283" s="45" customFormat="1" x14ac:dyDescent="0.2"/>
    <row r="284" s="45" customFormat="1" x14ac:dyDescent="0.2"/>
    <row r="285" s="45" customFormat="1" x14ac:dyDescent="0.2"/>
    <row r="286" s="45" customFormat="1" x14ac:dyDescent="0.2"/>
    <row r="287" s="45" customFormat="1" x14ac:dyDescent="0.2"/>
    <row r="288" s="45" customFormat="1" x14ac:dyDescent="0.2"/>
    <row r="289" s="45" customFormat="1" x14ac:dyDescent="0.2"/>
    <row r="290" s="45" customFormat="1" x14ac:dyDescent="0.2"/>
  </sheetData>
  <pageMargins left="0.7" right="0.7" top="0.75" bottom="0.75" header="0.3" footer="0.3"/>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workbookViewId="0">
      <selection activeCell="H30" sqref="H30"/>
    </sheetView>
  </sheetViews>
  <sheetFormatPr baseColWidth="10" defaultColWidth="11" defaultRowHeight="16" x14ac:dyDescent="0.2"/>
  <cols>
    <col min="1" max="1" width="26.83203125" bestFit="1" customWidth="1"/>
    <col min="2" max="5" width="10.33203125" bestFit="1" customWidth="1"/>
    <col min="6" max="8" width="11.33203125" bestFit="1" customWidth="1"/>
    <col min="9" max="9" width="10.33203125" bestFit="1" customWidth="1"/>
    <col min="10" max="10" width="11.33203125" bestFit="1" customWidth="1"/>
    <col min="11" max="11" width="10.33203125" bestFit="1" customWidth="1"/>
    <col min="12" max="12" width="7.83203125" bestFit="1" customWidth="1"/>
    <col min="14" max="14" width="10.1640625" bestFit="1" customWidth="1"/>
    <col min="15" max="15" width="7.1640625" bestFit="1" customWidth="1"/>
    <col min="17" max="19" width="11.33203125" bestFit="1" customWidth="1"/>
    <col min="20" max="20" width="3.83203125" bestFit="1" customWidth="1"/>
  </cols>
  <sheetData>
    <row r="1" spans="1:20" x14ac:dyDescent="0.2">
      <c r="A1" t="s">
        <v>142</v>
      </c>
      <c r="B1">
        <v>2013</v>
      </c>
      <c r="C1">
        <v>2014</v>
      </c>
      <c r="D1">
        <v>2015</v>
      </c>
      <c r="E1">
        <v>2016</v>
      </c>
      <c r="F1">
        <v>2017</v>
      </c>
      <c r="G1" t="s">
        <v>20</v>
      </c>
      <c r="H1" t="s">
        <v>19</v>
      </c>
      <c r="I1" t="s">
        <v>143</v>
      </c>
      <c r="J1" t="s">
        <v>144</v>
      </c>
      <c r="K1" t="s">
        <v>145</v>
      </c>
      <c r="L1" t="s">
        <v>146</v>
      </c>
      <c r="N1" t="s">
        <v>147</v>
      </c>
      <c r="Q1" t="s">
        <v>24</v>
      </c>
    </row>
    <row r="2" spans="1:20" x14ac:dyDescent="0.2">
      <c r="C2" s="55"/>
      <c r="R2" t="s">
        <v>143</v>
      </c>
      <c r="S2" t="s">
        <v>144</v>
      </c>
      <c r="T2" t="s">
        <v>145</v>
      </c>
    </row>
    <row r="3" spans="1:20" x14ac:dyDescent="0.2">
      <c r="A3" t="s">
        <v>148</v>
      </c>
      <c r="B3" s="55">
        <v>1000000</v>
      </c>
      <c r="D3" s="55"/>
      <c r="E3" s="55"/>
      <c r="G3" s="55">
        <f>B3-H3</f>
        <v>966000</v>
      </c>
      <c r="H3" s="55">
        <f>0.034*B3</f>
        <v>34000</v>
      </c>
      <c r="I3" s="55">
        <f>B3</f>
        <v>1000000</v>
      </c>
      <c r="J3" s="56"/>
      <c r="K3" s="56"/>
      <c r="L3" s="57">
        <f>(16427-9334)/2500</f>
        <v>2.8372000000000002</v>
      </c>
      <c r="Q3" s="55">
        <f>SUM(B3:F3)*L3</f>
        <v>2837200</v>
      </c>
      <c r="R3" s="55">
        <f>Q3</f>
        <v>2837200</v>
      </c>
    </row>
    <row r="4" spans="1:20" x14ac:dyDescent="0.2">
      <c r="I4" s="56"/>
      <c r="J4" s="56"/>
      <c r="K4" s="56"/>
      <c r="L4" s="57"/>
    </row>
    <row r="5" spans="1:20" x14ac:dyDescent="0.2">
      <c r="A5" t="s">
        <v>149</v>
      </c>
      <c r="B5" s="55">
        <v>311000</v>
      </c>
      <c r="C5" s="55"/>
      <c r="D5" s="55"/>
      <c r="E5" s="55"/>
      <c r="F5" s="55"/>
      <c r="G5" s="55">
        <f>B5-H5</f>
        <v>279900</v>
      </c>
      <c r="H5" s="55">
        <f>0.1*B5</f>
        <v>31100</v>
      </c>
      <c r="I5" s="55">
        <f>B5</f>
        <v>311000</v>
      </c>
      <c r="J5" s="56"/>
      <c r="K5" s="56"/>
      <c r="L5" s="57">
        <f>490000/B5</f>
        <v>1.5755627009646302</v>
      </c>
      <c r="Q5" s="55">
        <f>SUM(B5:F5)*L5</f>
        <v>490000</v>
      </c>
      <c r="R5" s="55">
        <f>Q5</f>
        <v>490000</v>
      </c>
    </row>
    <row r="6" spans="1:20" x14ac:dyDescent="0.2">
      <c r="I6" s="56"/>
      <c r="J6" s="56"/>
      <c r="K6" s="56"/>
      <c r="L6" s="57"/>
    </row>
    <row r="7" spans="1:20" x14ac:dyDescent="0.2">
      <c r="A7" t="s">
        <v>150</v>
      </c>
      <c r="B7" s="55">
        <v>78000</v>
      </c>
      <c r="C7" s="55"/>
      <c r="D7" s="55"/>
      <c r="E7" s="55"/>
      <c r="F7" s="55"/>
      <c r="G7" s="55">
        <f>B7-H7</f>
        <v>74880</v>
      </c>
      <c r="H7" s="55">
        <f>0.04*B7</f>
        <v>3120</v>
      </c>
      <c r="I7" s="55">
        <f>B7</f>
        <v>78000</v>
      </c>
      <c r="J7" s="56"/>
      <c r="K7" s="56"/>
      <c r="L7" s="57">
        <f>464000/B7</f>
        <v>5.9487179487179489</v>
      </c>
      <c r="Q7" s="55">
        <f>SUM(B7:F7)*L7</f>
        <v>464000</v>
      </c>
      <c r="R7" s="55">
        <f>Q7</f>
        <v>464000</v>
      </c>
    </row>
    <row r="8" spans="1:20" x14ac:dyDescent="0.2">
      <c r="I8" s="56"/>
      <c r="J8" s="56"/>
      <c r="K8" s="56"/>
    </row>
    <row r="9" spans="1:20" x14ac:dyDescent="0.2">
      <c r="A9" t="s">
        <v>151</v>
      </c>
      <c r="B9" s="55">
        <f xml:space="preserve"> 0.5*0.75*851000</f>
        <v>319125</v>
      </c>
      <c r="C9" s="55">
        <f>851000-B9</f>
        <v>531875</v>
      </c>
      <c r="D9" s="55"/>
      <c r="E9" s="55"/>
      <c r="F9" s="55"/>
      <c r="G9" s="55">
        <f>B9+C9-H9</f>
        <v>212750</v>
      </c>
      <c r="H9" s="55">
        <f>0.75*(B9+C9)</f>
        <v>638250</v>
      </c>
      <c r="I9" s="56"/>
      <c r="J9" s="55">
        <f>B9+C9</f>
        <v>851000</v>
      </c>
      <c r="K9" s="56"/>
      <c r="L9" s="57">
        <f>1874000/851000</f>
        <v>2.2021151586368979</v>
      </c>
      <c r="Q9" s="55">
        <f>SUM(B9:F9)*L9</f>
        <v>1874000</v>
      </c>
      <c r="S9" s="55">
        <f>Q9</f>
        <v>1874000</v>
      </c>
    </row>
    <row r="10" spans="1:20" x14ac:dyDescent="0.2">
      <c r="I10" s="56"/>
      <c r="J10" s="55"/>
      <c r="K10" s="56"/>
    </row>
    <row r="11" spans="1:20" x14ac:dyDescent="0.2">
      <c r="A11" t="s">
        <v>152</v>
      </c>
      <c r="B11" s="55">
        <v>950000</v>
      </c>
      <c r="H11" s="55">
        <f>B11</f>
        <v>950000</v>
      </c>
      <c r="I11" s="55">
        <f>B11</f>
        <v>950000</v>
      </c>
      <c r="J11" s="56"/>
      <c r="K11" s="56"/>
      <c r="L11" s="57">
        <f>(9653.4-8400)/(9500000/200)</f>
        <v>2.6387368421052625E-2</v>
      </c>
      <c r="N11" s="58">
        <v>1</v>
      </c>
      <c r="Q11" s="55">
        <f>SUM(B11:F11)*L11</f>
        <v>25067.999999999993</v>
      </c>
      <c r="R11" s="55">
        <f>Q11</f>
        <v>25067.999999999993</v>
      </c>
    </row>
    <row r="12" spans="1:20" x14ac:dyDescent="0.2">
      <c r="I12" s="56"/>
      <c r="J12" s="56"/>
      <c r="K12" s="56"/>
    </row>
    <row r="13" spans="1:20" x14ac:dyDescent="0.2">
      <c r="A13" t="s">
        <v>153</v>
      </c>
      <c r="B13" s="55">
        <v>858000</v>
      </c>
      <c r="C13" s="55">
        <v>1550000</v>
      </c>
      <c r="D13" s="55">
        <v>1550000</v>
      </c>
      <c r="E13" s="55">
        <v>1550000</v>
      </c>
      <c r="F13" s="55">
        <v>1550000</v>
      </c>
      <c r="H13" s="55">
        <f>SUM(B13:F13)</f>
        <v>7058000</v>
      </c>
      <c r="I13" s="56"/>
      <c r="J13" s="55">
        <f>H13</f>
        <v>7058000</v>
      </c>
      <c r="K13" s="56"/>
      <c r="L13">
        <v>2</v>
      </c>
      <c r="N13" s="58">
        <f>50/858</f>
        <v>5.8275058275058272E-2</v>
      </c>
      <c r="O13" s="58">
        <f>350/1550</f>
        <v>0.22580645161290322</v>
      </c>
      <c r="Q13" s="55">
        <f>SUM(B13:F13)*L13</f>
        <v>14116000</v>
      </c>
      <c r="S13" s="55">
        <f>Q13</f>
        <v>14116000</v>
      </c>
    </row>
    <row r="14" spans="1:20" x14ac:dyDescent="0.2">
      <c r="I14" s="56"/>
      <c r="J14" s="56"/>
      <c r="K14" s="56"/>
    </row>
    <row r="15" spans="1:20" x14ac:dyDescent="0.2">
      <c r="A15" t="s">
        <v>154</v>
      </c>
      <c r="B15" s="55">
        <v>100000</v>
      </c>
      <c r="C15" s="55">
        <v>725000</v>
      </c>
      <c r="D15" s="55">
        <v>725000</v>
      </c>
      <c r="E15" s="55">
        <v>725000</v>
      </c>
      <c r="G15" s="55">
        <f>0.1*SUM(B15:E15)</f>
        <v>227500</v>
      </c>
      <c r="H15" s="55">
        <f>0.9*SUM(B15:E15)</f>
        <v>2047500</v>
      </c>
      <c r="I15" s="56"/>
      <c r="J15" s="55">
        <f>H15+G15</f>
        <v>2275000</v>
      </c>
      <c r="K15" s="56"/>
      <c r="L15">
        <v>0</v>
      </c>
      <c r="Q15" s="55">
        <f>SUM(B15:F15)*L15</f>
        <v>0</v>
      </c>
      <c r="S15" s="55">
        <f>Q15</f>
        <v>0</v>
      </c>
    </row>
    <row r="17" spans="1:19" x14ac:dyDescent="0.2">
      <c r="A17" t="s">
        <v>155</v>
      </c>
      <c r="B17" s="55">
        <v>250000</v>
      </c>
      <c r="C17" s="55">
        <v>315000</v>
      </c>
      <c r="D17" s="55">
        <v>395000</v>
      </c>
      <c r="F17" s="55"/>
      <c r="G17" s="55">
        <f>SUM(B17:D17)</f>
        <v>960000</v>
      </c>
      <c r="I17" s="55">
        <f>G17</f>
        <v>960000</v>
      </c>
      <c r="J17" s="56"/>
      <c r="K17" s="56"/>
      <c r="L17">
        <v>1.7</v>
      </c>
      <c r="Q17" s="55">
        <f>SUM(B17:F17)*L17</f>
        <v>1632000</v>
      </c>
      <c r="R17" s="55">
        <f>Q17</f>
        <v>1632000</v>
      </c>
    </row>
    <row r="18" spans="1:19" x14ac:dyDescent="0.2">
      <c r="B18" s="55"/>
      <c r="C18" s="55"/>
      <c r="D18" s="55"/>
      <c r="I18" s="56"/>
      <c r="J18" s="56"/>
      <c r="K18" s="56"/>
    </row>
    <row r="19" spans="1:19" x14ac:dyDescent="0.2">
      <c r="A19" t="s">
        <v>156</v>
      </c>
      <c r="B19" s="55">
        <v>25000</v>
      </c>
      <c r="C19" s="55">
        <v>75000</v>
      </c>
      <c r="D19" s="55"/>
      <c r="H19" s="55">
        <f>B19+C19</f>
        <v>100000</v>
      </c>
      <c r="I19" s="56"/>
      <c r="J19" s="55">
        <f>H19</f>
        <v>100000</v>
      </c>
      <c r="K19" s="56"/>
      <c r="L19">
        <v>6.5</v>
      </c>
      <c r="Q19" s="55">
        <f>SUM(B19:F19)*L19</f>
        <v>650000</v>
      </c>
      <c r="S19" s="55">
        <f>Q19</f>
        <v>650000</v>
      </c>
    </row>
    <row r="20" spans="1:19" x14ac:dyDescent="0.2">
      <c r="B20" s="55"/>
      <c r="C20" s="55"/>
      <c r="D20" s="55"/>
      <c r="I20" s="56"/>
      <c r="J20" s="56"/>
      <c r="K20" s="56"/>
    </row>
    <row r="21" spans="1:19" x14ac:dyDescent="0.2">
      <c r="A21" t="s">
        <v>157</v>
      </c>
      <c r="B21" s="55">
        <v>1000000</v>
      </c>
      <c r="C21" s="55"/>
      <c r="D21" s="55"/>
      <c r="G21" s="59">
        <f>B21-H21</f>
        <v>900000</v>
      </c>
      <c r="H21" s="59">
        <f>0.1*B21</f>
        <v>100000</v>
      </c>
      <c r="I21" s="55">
        <f>B21</f>
        <v>1000000</v>
      </c>
      <c r="J21" s="56"/>
      <c r="K21" s="56"/>
      <c r="L21">
        <v>1.2</v>
      </c>
      <c r="Q21" s="55">
        <f>L21*B21</f>
        <v>1200000</v>
      </c>
      <c r="R21" s="55">
        <f>Q21</f>
        <v>1200000</v>
      </c>
    </row>
    <row r="22" spans="1:19" x14ac:dyDescent="0.2">
      <c r="B22" s="55"/>
      <c r="C22" s="55"/>
      <c r="D22" s="55"/>
      <c r="I22" s="56"/>
      <c r="J22" s="56"/>
      <c r="K22" s="56"/>
    </row>
    <row r="23" spans="1:19" x14ac:dyDescent="0.2">
      <c r="A23" t="s">
        <v>158</v>
      </c>
      <c r="B23" s="55">
        <v>175000</v>
      </c>
      <c r="C23" s="55"/>
      <c r="D23" s="55"/>
      <c r="G23" s="59">
        <f>B23-H23</f>
        <v>157500</v>
      </c>
      <c r="H23" s="59">
        <f>0.1*B23</f>
        <v>17500</v>
      </c>
      <c r="I23" s="55">
        <f>B23</f>
        <v>175000</v>
      </c>
      <c r="J23" s="56"/>
      <c r="K23" s="56"/>
      <c r="L23">
        <v>2.1</v>
      </c>
      <c r="Q23" s="55">
        <f>SUM(B23:F23)*L23</f>
        <v>367500</v>
      </c>
      <c r="R23" s="55">
        <f>Q23</f>
        <v>367500</v>
      </c>
    </row>
    <row r="24" spans="1:19" x14ac:dyDescent="0.2">
      <c r="B24" s="55"/>
      <c r="C24" s="55"/>
      <c r="D24" s="55"/>
      <c r="I24" s="56"/>
      <c r="J24" s="56"/>
      <c r="K24" s="56"/>
    </row>
    <row r="25" spans="1:19" x14ac:dyDescent="0.2">
      <c r="A25" t="s">
        <v>159</v>
      </c>
      <c r="B25" s="55">
        <v>400000</v>
      </c>
      <c r="C25" s="55"/>
      <c r="D25" s="55"/>
      <c r="G25" s="59">
        <f>B25-H25</f>
        <v>360000</v>
      </c>
      <c r="H25" s="59">
        <f>0.1*B25</f>
        <v>40000</v>
      </c>
      <c r="I25" s="55">
        <f>B25</f>
        <v>400000</v>
      </c>
      <c r="J25" s="56"/>
      <c r="K25" s="56"/>
      <c r="L25">
        <v>0.5</v>
      </c>
      <c r="Q25" s="55">
        <f>SUM(B25:F25)*L25</f>
        <v>200000</v>
      </c>
      <c r="R25" s="55">
        <f>Q25</f>
        <v>200000</v>
      </c>
    </row>
    <row r="26" spans="1:19" x14ac:dyDescent="0.2">
      <c r="B26" s="55"/>
      <c r="C26" s="55"/>
      <c r="D26" s="55"/>
      <c r="I26" s="56"/>
      <c r="J26" s="56"/>
      <c r="K26" s="56"/>
    </row>
    <row r="27" spans="1:19" x14ac:dyDescent="0.2">
      <c r="A27" t="s">
        <v>160</v>
      </c>
      <c r="B27" s="55">
        <v>150000</v>
      </c>
      <c r="C27" s="55"/>
      <c r="D27" s="55"/>
      <c r="G27" s="59">
        <f>B27-H27</f>
        <v>135000</v>
      </c>
      <c r="H27" s="59">
        <f>0.1*B27</f>
        <v>15000</v>
      </c>
      <c r="I27" s="55">
        <f>B27</f>
        <v>150000</v>
      </c>
      <c r="J27" s="56"/>
      <c r="K27" s="56"/>
      <c r="L27">
        <v>0</v>
      </c>
      <c r="Q27" s="55">
        <f>SUM(B27:F27)*L27</f>
        <v>0</v>
      </c>
      <c r="R27" s="55">
        <f>Q27</f>
        <v>0</v>
      </c>
    </row>
    <row r="28" spans="1:19" x14ac:dyDescent="0.2">
      <c r="B28" s="55"/>
      <c r="C28" s="55"/>
      <c r="D28" s="55"/>
      <c r="I28" s="56"/>
      <c r="J28" s="56"/>
      <c r="K28" s="56"/>
    </row>
    <row r="29" spans="1:19" x14ac:dyDescent="0.2">
      <c r="A29" t="s">
        <v>161</v>
      </c>
      <c r="B29" s="55">
        <v>250000</v>
      </c>
      <c r="C29" s="55"/>
      <c r="D29" s="55"/>
      <c r="G29" s="59">
        <f>B29-H29</f>
        <v>225000</v>
      </c>
      <c r="H29" s="59">
        <f>0.1*B29</f>
        <v>25000</v>
      </c>
      <c r="I29" s="55">
        <f>B29</f>
        <v>250000</v>
      </c>
      <c r="J29" s="56"/>
      <c r="K29" s="56"/>
      <c r="L29">
        <v>0</v>
      </c>
      <c r="Q29" s="55">
        <f>SUM(B29:F29)*L29</f>
        <v>0</v>
      </c>
      <c r="R29" s="55" t="s">
        <v>162</v>
      </c>
    </row>
    <row r="30" spans="1:19" x14ac:dyDescent="0.2">
      <c r="G30" s="221">
        <f>G29/$B29</f>
        <v>0.9</v>
      </c>
      <c r="H30" s="221">
        <f>H29/$B29</f>
        <v>0.1</v>
      </c>
    </row>
    <row r="31" spans="1:19" x14ac:dyDescent="0.2">
      <c r="A31" t="s">
        <v>163</v>
      </c>
      <c r="B31" s="55">
        <v>273000</v>
      </c>
      <c r="C31" s="55">
        <v>658000</v>
      </c>
      <c r="D31" s="55">
        <v>658000</v>
      </c>
      <c r="E31" s="55"/>
      <c r="F31" s="55"/>
      <c r="G31" s="55">
        <f>SUM(B31:D31)-H31</f>
        <v>1306158</v>
      </c>
      <c r="H31" s="55">
        <f>0.178*SUM(B31:D31)</f>
        <v>282842</v>
      </c>
      <c r="I31" s="55">
        <f>G31+H31</f>
        <v>1589000</v>
      </c>
      <c r="L31">
        <v>2.5299999999999998</v>
      </c>
      <c r="Q31" s="55">
        <f>SUM(B31:F31)*L31</f>
        <v>4020169.9999999995</v>
      </c>
      <c r="R31" s="55">
        <f>Q31</f>
        <v>4020169.9999999995</v>
      </c>
    </row>
    <row r="32" spans="1:19" x14ac:dyDescent="0.2">
      <c r="F32" s="55"/>
    </row>
    <row r="33" spans="1:20" x14ac:dyDescent="0.2">
      <c r="Q33" s="55"/>
    </row>
    <row r="34" spans="1:20" x14ac:dyDescent="0.2">
      <c r="B34" s="55">
        <f>SUM(B2:B32)</f>
        <v>6139125</v>
      </c>
      <c r="C34" s="55">
        <f>SUM(C2:C32)</f>
        <v>3854875</v>
      </c>
      <c r="D34" s="55">
        <f t="shared" ref="D34:F34" si="0">SUM(D2:D32)</f>
        <v>3328000</v>
      </c>
      <c r="E34" s="55">
        <f t="shared" si="0"/>
        <v>2275000</v>
      </c>
      <c r="F34" s="55">
        <f t="shared" si="0"/>
        <v>1550000</v>
      </c>
      <c r="G34" s="55">
        <f>SUM(G3:G31)</f>
        <v>5804688.9000000004</v>
      </c>
      <c r="H34" s="55">
        <f>SUM(H3:H31)</f>
        <v>11342312.1</v>
      </c>
      <c r="I34" s="55">
        <f>SUM(I3:I31)</f>
        <v>6863000</v>
      </c>
      <c r="J34" s="55">
        <f t="shared" ref="J34:K34" si="1">SUM(J3:J31)</f>
        <v>10284000</v>
      </c>
      <c r="K34" s="55">
        <f t="shared" si="1"/>
        <v>0</v>
      </c>
      <c r="Q34" s="55">
        <f>SUM(Q3:Q31)</f>
        <v>27875938</v>
      </c>
      <c r="R34" s="55">
        <f>SUM(R3:R31)</f>
        <v>11235938</v>
      </c>
      <c r="S34" s="55">
        <f t="shared" ref="S34:T34" si="2">SUM(S3:S31)</f>
        <v>16640000</v>
      </c>
      <c r="T34" s="55">
        <f t="shared" si="2"/>
        <v>0</v>
      </c>
    </row>
    <row r="35" spans="1:20" x14ac:dyDescent="0.2">
      <c r="F35" s="55">
        <f>SUM(B34:F34)</f>
        <v>17147000</v>
      </c>
      <c r="H35" s="55">
        <f>G34+H34</f>
        <v>17147001</v>
      </c>
      <c r="I35" s="60">
        <f>I34/F35</f>
        <v>0.40024494080597189</v>
      </c>
      <c r="J35" s="60">
        <f>J34/F35</f>
        <v>0.59975505919402816</v>
      </c>
      <c r="K35" s="60">
        <f>K34/F35</f>
        <v>0</v>
      </c>
      <c r="Q35" s="61">
        <f>Q34/F35</f>
        <v>1.6257035049862949</v>
      </c>
      <c r="R35" s="61">
        <f>R34/I34</f>
        <v>1.6371758706105202</v>
      </c>
      <c r="S35" s="61">
        <f>S34/J34</f>
        <v>1.61804745235317</v>
      </c>
    </row>
    <row r="36" spans="1:20" x14ac:dyDescent="0.2">
      <c r="H36" t="s">
        <v>164</v>
      </c>
      <c r="I36" s="60">
        <v>0.49299999999999999</v>
      </c>
      <c r="J36" s="60">
        <v>0.376</v>
      </c>
      <c r="K36" s="60">
        <v>0.13100000000000001</v>
      </c>
    </row>
    <row r="37" spans="1:20" x14ac:dyDescent="0.2">
      <c r="G37" s="55">
        <v>11000000</v>
      </c>
      <c r="H37" t="s">
        <v>165</v>
      </c>
      <c r="I37" s="55">
        <f>I36*G37</f>
        <v>5423000</v>
      </c>
      <c r="J37" s="55">
        <f>J36*G37</f>
        <v>4136000</v>
      </c>
      <c r="K37" s="55">
        <f>K36*G37</f>
        <v>1441000</v>
      </c>
    </row>
    <row r="40" spans="1:20" x14ac:dyDescent="0.2">
      <c r="A40" t="s">
        <v>140</v>
      </c>
    </row>
    <row r="41" spans="1:20" x14ac:dyDescent="0.2">
      <c r="A41" t="s">
        <v>166</v>
      </c>
    </row>
    <row r="42" spans="1:20" x14ac:dyDescent="0.2">
      <c r="A42" t="s">
        <v>167</v>
      </c>
    </row>
    <row r="43" spans="1:20" x14ac:dyDescent="0.2">
      <c r="A43" t="s">
        <v>168</v>
      </c>
    </row>
  </sheetData>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 Recommended Portfolio</vt:lpstr>
      <vt:lpstr>Output Summary</vt:lpstr>
      <vt:lpstr>Scoring Inputs</vt:lpstr>
      <vt:lpstr>Cost &amp; Benefit Inputs</vt:lpstr>
      <vt:lpstr>GMP Summary of Participants</vt:lpstr>
      <vt:lpstr>Bruce Bentley's Inputs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Theodore Love</dc:creator>
  <cp:lastModifiedBy>Microsoft Office User</cp:lastModifiedBy>
  <dcterms:created xsi:type="dcterms:W3CDTF">2012-12-12T16:03:34Z</dcterms:created>
  <dcterms:modified xsi:type="dcterms:W3CDTF">2016-10-27T19:34:56Z</dcterms:modified>
</cp:coreProperties>
</file>